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://luminous/sites/RegA/GRA/2026/Shared Documents/03 - RFIs/CA-NLH-152/"/>
    </mc:Choice>
  </mc:AlternateContent>
  <xr:revisionPtr revIDLastSave="0" documentId="13_ncr:1_{3EA2B04F-B6F4-43B8-B32F-15F46ADACB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) F1.2 Mitigation 18.43% Rev" sheetId="3" r:id="rId1"/>
    <sheet name="ii)G1.2 No Mitigatation 18.43%" sheetId="2" r:id="rId2"/>
    <sheet name="iii) Schedule F 1.2 Filed" sheetId="4" r:id="rId3"/>
    <sheet name="iv) Schedule G1.2 Filed" sheetId="5" r:id="rId4"/>
  </sheets>
  <externalReferences>
    <externalReference r:id="rId5"/>
    <externalReference r:id="rId6"/>
    <externalReference r:id="rId7"/>
    <externalReference r:id="rId8"/>
  </externalReferences>
  <definedNames>
    <definedName name="__123Graph_A" localSheetId="0" hidden="1">#REF!</definedName>
    <definedName name="__123Graph_A" localSheetId="2" hidden="1">#REF!</definedName>
    <definedName name="__123Graph_A" hidden="1">#REF!</definedName>
    <definedName name="__123Graph_ADRR_ECC" localSheetId="0" hidden="1">#REF!</definedName>
    <definedName name="__123Graph_ADRR_ECC" localSheetId="2" hidden="1">#REF!</definedName>
    <definedName name="__123Graph_ADRR_ECC" hidden="1">#REF!</definedName>
    <definedName name="__123Graph_AGDP_N" localSheetId="0" hidden="1">#REF!</definedName>
    <definedName name="__123Graph_AGDP_N" localSheetId="2" hidden="1">#REF!</definedName>
    <definedName name="__123Graph_AGDP_N" hidden="1">#REF!</definedName>
    <definedName name="__123Graph_BDRR_ECC" localSheetId="0" hidden="1">#REF!</definedName>
    <definedName name="__123Graph_BDRR_ECC" localSheetId="2" hidden="1">#REF!</definedName>
    <definedName name="__123Graph_BDRR_ECC" hidden="1">#REF!</definedName>
    <definedName name="__123Graph_X" hidden="1">#REF!</definedName>
    <definedName name="__123Graph_XGDP_N" localSheetId="0" hidden="1">#REF!</definedName>
    <definedName name="__123Graph_XGDP_N" localSheetId="2" hidden="1">#REF!</definedName>
    <definedName name="__123Graph_XGDP_N" hidden="1">#REF!</definedName>
    <definedName name="_Fill" localSheetId="0" hidden="1">#REF!</definedName>
    <definedName name="_Fill" localSheetId="2" hidden="1">#REF!</definedName>
    <definedName name="_Fill" hidden="1">#REF!</definedName>
    <definedName name="_xlnm._FilterDatabase" hidden="1">#REF!</definedName>
    <definedName name="_Key1" localSheetId="0" hidden="1">#REF!</definedName>
    <definedName name="_Key1" localSheetId="2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hidden="1">#REF!</definedName>
    <definedName name="aaaa" hidden="1">#REF!</definedName>
    <definedName name="AllocatedMeters" localSheetId="0">#REF!</definedName>
    <definedName name="AllocatedMeters" localSheetId="2">#REF!</definedName>
    <definedName name="AllocatedMeters" localSheetId="3">#REF!</definedName>
    <definedName name="AllocatedMeters">#REF!</definedName>
    <definedName name="anscount" hidden="1">1</definedName>
    <definedName name="Appbysys" localSheetId="0">#REF!</definedName>
    <definedName name="Appbysys" localSheetId="2">#REF!</definedName>
    <definedName name="Appbysys" localSheetId="3">#REF!</definedName>
    <definedName name="Appbysys">#REF!</definedName>
    <definedName name="ApprenticesGT" localSheetId="0">#REF!</definedName>
    <definedName name="ApprenticesGT" localSheetId="2">#REF!</definedName>
    <definedName name="ApprenticesGT" localSheetId="3">#REF!</definedName>
    <definedName name="ApprenticesGT">#REF!</definedName>
    <definedName name="AS2DocOpenMode" hidden="1">"AS2DocumentEdit"</definedName>
    <definedName name="CP_AED_Switch" localSheetId="0">#REF!</definedName>
    <definedName name="CP_AED_Switch" localSheetId="2">#REF!</definedName>
    <definedName name="CP_AED_Switch" localSheetId="3">[1]RunOptions!$B$16</definedName>
    <definedName name="CP_AED_Switch">#REF!</definedName>
    <definedName name="CUSTOMERS" localSheetId="0">#REF!</definedName>
    <definedName name="CUSTOMERS" localSheetId="2">#REF!</definedName>
    <definedName name="CUSTOMERS" localSheetId="3">#REF!</definedName>
    <definedName name="CUSTOMERS">#REF!</definedName>
    <definedName name="EssAliasTable">"Default"</definedName>
    <definedName name="EssOptions">"A1100000000030000000001100000_0000"</definedName>
    <definedName name="ExportTX" localSheetId="0">#REF!</definedName>
    <definedName name="ExportTX" localSheetId="2">#REF!</definedName>
    <definedName name="ExportTX" localSheetId="3">[1]RunOptions!$B$17</definedName>
    <definedName name="ExportTX">#REF!</definedName>
    <definedName name="FalloutROE" localSheetId="0">#REF!</definedName>
    <definedName name="FalloutROE" localSheetId="2">#REF!</definedName>
    <definedName name="FalloutROE" localSheetId="3">#REF!</definedName>
    <definedName name="FalloutROE">#REF!</definedName>
    <definedName name="GenAdmin">#REF!</definedName>
    <definedName name="Holidays" localSheetId="0">#REF!</definedName>
    <definedName name="Holidays" localSheetId="2">#REF!</definedName>
    <definedName name="Holidays">#REF!</definedName>
    <definedName name="HRDCapacityFactor" localSheetId="0">#REF!</definedName>
    <definedName name="HRDCapacityFactor" localSheetId="2">#REF!</definedName>
    <definedName name="HRDCapacityFactor" localSheetId="3">[1]RunOptions!$B$25</definedName>
    <definedName name="HRDCapacityFactor">#REF!</definedName>
    <definedName name="IndexPlant" localSheetId="0">#REF!</definedName>
    <definedName name="IndexPlant" localSheetId="2">#REF!</definedName>
    <definedName name="IndexPlant" localSheetId="3">[1]RunOptions!$B$29</definedName>
    <definedName name="IndexPlant">#REF!</definedName>
    <definedName name="INS" localSheetId="0">#REF!</definedName>
    <definedName name="INS" localSheetId="2">#REF!</definedName>
    <definedName name="INS" localSheetId="3">#REF!</definedName>
    <definedName name="IN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38804.6174189815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LLF" localSheetId="0">#REF!</definedName>
    <definedName name="ISLLF" localSheetId="2">#REF!</definedName>
    <definedName name="ISLLF">#REF!</definedName>
    <definedName name="ISLLOAD" localSheetId="0">#REF!</definedName>
    <definedName name="ISLLOAD" localSheetId="2">#REF!</definedName>
    <definedName name="ISLLOAD">#REF!</definedName>
    <definedName name="LABLF" localSheetId="0">#REF!</definedName>
    <definedName name="LABLF" localSheetId="2">#REF!</definedName>
    <definedName name="LABLF">#REF!</definedName>
    <definedName name="MarginalCostSwitch" localSheetId="0">#REF!</definedName>
    <definedName name="MarginalCostSwitch" localSheetId="2">#REF!</definedName>
    <definedName name="MarginalCostSwitch" localSheetId="3">[1]RunOptions!$B$23</definedName>
    <definedName name="MarginalCostSwitch">#REF!</definedName>
    <definedName name="MunTax" localSheetId="0">#REF!</definedName>
    <definedName name="MunTax" localSheetId="2">#REF!</definedName>
    <definedName name="MunTax" localSheetId="3">#REF!</definedName>
    <definedName name="MunTax">#REF!</definedName>
    <definedName name="NoOne" localSheetId="0">[2]RunOptions!$B$22</definedName>
    <definedName name="NoOne" localSheetId="2">[3]RunOptions!$B$22</definedName>
    <definedName name="NoOne" localSheetId="3">[1]RunOptions!$B$22</definedName>
    <definedName name="NoOne">[4]RunOptions!$B$22</definedName>
    <definedName name="NPPEAK" localSheetId="0">#REF!</definedName>
    <definedName name="NPPEAK" localSheetId="2">#REF!</definedName>
    <definedName name="NPPEAK">#REF!</definedName>
    <definedName name="OAMbySys" localSheetId="0">#REF!</definedName>
    <definedName name="OAMbySys" localSheetId="2">#REF!</definedName>
    <definedName name="OAMbySys" localSheetId="3">#REF!</definedName>
    <definedName name="OAMbySys">#REF!</definedName>
    <definedName name="OverheadAlloc" localSheetId="0">#REF!</definedName>
    <definedName name="OverheadAlloc" localSheetId="2">[3]RunOptions!$B$19</definedName>
    <definedName name="OverheadAlloc" localSheetId="3">[1]RunOptions!$B$19</definedName>
    <definedName name="OverheadAlloc">#REF!</definedName>
    <definedName name="_xlnm.Print_Area" localSheetId="0">'i) F1.2 Mitigation 18.43% Rev'!$A$1:$I$238,'i) F1.2 Mitigation 18.43% Rev'!$A$294:$H$326</definedName>
    <definedName name="_xlnm.Print_Area" localSheetId="1">'ii)G1.2 No Mitigatation 18.43%'!$A$1:$I$238,'ii)G1.2 No Mitigatation 18.43%'!$A$294:$H$326</definedName>
    <definedName name="_xlnm.Print_Area" localSheetId="2">'iii) Schedule F 1.2 Filed'!$A$1:$I$238,'iii) Schedule F 1.2 Filed'!$A$294:$H$326</definedName>
    <definedName name="_xlnm.Print_Area" localSheetId="3">'iv) Schedule G1.2 Filed'!$A$1:$I$238,'iv) Schedule G1.2 Filed'!$A$294:$H$326</definedName>
    <definedName name="prt_tot1.2" localSheetId="0">'i) F1.2 Mitigation 18.43% Rev'!$A$1:$I$238</definedName>
    <definedName name="prt_tot1.2" localSheetId="2">'iii) Schedule F 1.2 Filed'!$A$1:$I$238</definedName>
    <definedName name="prt_tot1.2" localSheetId="3">'iv) Schedule G1.2 Filed'!$A$1:$I$238</definedName>
    <definedName name="prt_tot1.2">'ii)G1.2 No Mitigatation 18.43%'!$A$1:$I$238</definedName>
    <definedName name="PRT_TOT1.2.1" localSheetId="0">'i) F1.2 Mitigation 18.43% Rev'!$A$294:$H$326</definedName>
    <definedName name="PRT_TOT1.2.1" localSheetId="2">'iii) Schedule F 1.2 Filed'!$A$294:$H$326</definedName>
    <definedName name="PRT_TOT1.2.1" localSheetId="3">'iv) Schedule G1.2 Filed'!$A$294:$H$326</definedName>
    <definedName name="PRT_TOT1.2.1">'ii)G1.2 No Mitigatation 18.43%'!$A$294:$H$326</definedName>
    <definedName name="PUBAss" localSheetId="0">#REF!</definedName>
    <definedName name="PUBAss" localSheetId="2">#REF!</definedName>
    <definedName name="PUBAss" localSheetId="3">#REF!</definedName>
    <definedName name="PUBAss">#REF!</definedName>
    <definedName name="RateRounding" localSheetId="0">[2]RunOptions!$B$30</definedName>
    <definedName name="RateRounding" localSheetId="2">[3]RunOptions!$B$30</definedName>
    <definedName name="RateRounding" localSheetId="3">[1]RunOptions!$B$30</definedName>
    <definedName name="RateRounding">[4]RunOptions!$B$30</definedName>
    <definedName name="RatiosIslInt" localSheetId="0">#REF!</definedName>
    <definedName name="RatiosIslInt" localSheetId="2">#REF!</definedName>
    <definedName name="RatiosIslInt" localSheetId="3">#REF!</definedName>
    <definedName name="RatiosIslInt">#REF!</definedName>
    <definedName name="RatiosIslIso" localSheetId="0">#REF!</definedName>
    <definedName name="RatiosIslIso" localSheetId="2">#REF!</definedName>
    <definedName name="RatiosIslIso" localSheetId="3">#REF!</definedName>
    <definedName name="RatiosIslIso">#REF!</definedName>
    <definedName name="RatiosLabInt" localSheetId="0">#REF!</definedName>
    <definedName name="RatiosLabInt" localSheetId="2">#REF!</definedName>
    <definedName name="RatiosLabInt" localSheetId="3">#REF!</definedName>
    <definedName name="RatiosLabInt">#REF!</definedName>
    <definedName name="RatiosLabIso" localSheetId="0">#REF!</definedName>
    <definedName name="RatiosLabIso" localSheetId="2">#REF!</definedName>
    <definedName name="RatiosLabIso" localSheetId="3">#REF!</definedName>
    <definedName name="RatiosLabIso">#REF!</definedName>
    <definedName name="RatiosLAL" localSheetId="0">#REF!</definedName>
    <definedName name="RatiosLAL" localSheetId="2">#REF!</definedName>
    <definedName name="RatiosLAL" localSheetId="3">#REF!</definedName>
    <definedName name="RatiosLAL">#REF!</definedName>
    <definedName name="ratiossystem" localSheetId="0">#REF!</definedName>
    <definedName name="ratiossystem" localSheetId="2">#REF!</definedName>
    <definedName name="ratiossystem" localSheetId="3">#REF!</definedName>
    <definedName name="ratiossystem">#REF!</definedName>
    <definedName name="ROE" localSheetId="0">#REF!</definedName>
    <definedName name="ROE" localSheetId="2">#REF!</definedName>
    <definedName name="ROE" localSheetId="3">#REF!</definedName>
    <definedName name="ROE">#REF!</definedName>
    <definedName name="Rounding" localSheetId="0">[2]RunOptions!$B$30</definedName>
    <definedName name="Rounding" localSheetId="2">[3]RunOptions!$B$30</definedName>
    <definedName name="Rounding" localSheetId="3">[1]RunOptions!$B$30</definedName>
    <definedName name="Rounding">[4]RunOptions!$B$30</definedName>
    <definedName name="RunMonth" localSheetId="0">#REF!</definedName>
    <definedName name="RunMonth" localSheetId="2">#REF!</definedName>
    <definedName name="RunMonth" localSheetId="3">#REF!</definedName>
    <definedName name="RunMonth">#REF!</definedName>
    <definedName name="RunName" localSheetId="0">[2]RunOptions!$B$20</definedName>
    <definedName name="RunName" localSheetId="2">[3]RunOptions!$B$20</definedName>
    <definedName name="RunName" localSheetId="3">[1]RunOptions!$B$20</definedName>
    <definedName name="RunName">[4]RunOptions!$B$20</definedName>
    <definedName name="RuralMarginSwitch" localSheetId="0">[2]RunOptions!$B$15</definedName>
    <definedName name="RuralMarginSwitch" localSheetId="2">[3]RunOptions!$B$15</definedName>
    <definedName name="RuralMarginSwitch" localSheetId="3">[1]RunOptions!$B$15</definedName>
    <definedName name="RuralMarginSwitch">[4]RunOptions!$B$15</definedName>
    <definedName name="sencount" hidden="1">1</definedName>
    <definedName name="Summary" localSheetId="0">#REF!</definedName>
    <definedName name="Summary" localSheetId="2">#REF!</definedName>
    <definedName name="Summary" localSheetId="3">#REF!</definedName>
    <definedName name="Summary">#REF!</definedName>
    <definedName name="TestYrSwitch" localSheetId="0">[2]RunOptions!$B$14</definedName>
    <definedName name="TestYrSwitch" localSheetId="2">[3]RunOptions!$B$14</definedName>
    <definedName name="TestYrSwitch" localSheetId="3">[1]RunOptions!$B$14</definedName>
    <definedName name="TestYrSwitch">[4]RunOptions!$B$14</definedName>
    <definedName name="wrn.1._.Summaries." localSheetId="0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2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3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2._.Island._.Interconnected." localSheetId="0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2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3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3._.Isolated._.systems." localSheetId="0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2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3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4._.Labrador._.Interconnected." localSheetId="0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2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3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5._.LAnse._.au._.Loup." localSheetId="0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2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3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6._.Generation._.and._.Trans._.AED._.Factors." localSheetId="0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2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3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Other." localSheetId="0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2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3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COS." localSheetId="0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2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3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ustomers." localSheetId="0" hidden="1">{"CustIslInt",#N/A,FALSE,"Unassigned Sched - Customers";"CustLabInt",#N/A,FALSE,"Unassigned Sched - Customers";"CustIso",#N/A,FALSE,"Unassigned Sched - Customers"}</definedName>
    <definedName name="wrn.Customers." localSheetId="2" hidden="1">{"CustIslInt",#N/A,FALSE,"Unassigned Sched - Customers";"CustLabInt",#N/A,FALSE,"Unassigned Sched - Customers";"CustIso",#N/A,FALSE,"Unassigned Sched - Customers"}</definedName>
    <definedName name="wrn.Customers." localSheetId="3" hidden="1">{"CustIslInt",#N/A,FALSE,"Unassigned Sched - Customers";"CustLabInt",#N/A,FALSE,"Unassigned Sched - Customers";"CustIso",#N/A,FALSE,"Unassigned Sched - Customers"}</definedName>
    <definedName name="wrn.Customers." hidden="1">{"CustIslInt",#N/A,FALSE,"Unassigned Sched - Customers";"CustLabInt",#N/A,FALSE,"Unassigned Sched - Customers";"CustIso",#N/A,FALSE,"Unassigned Sched - Customers"}</definedName>
    <definedName name="wrn.Forecast._.Budget._.Report." localSheetId="0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2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3" hidden="1">{"Forecast Cover",#N/A,FALSE,"Rates";"Revenue - Pages 1 - 8",#N/A,FALSE,"Revenue $";"Rates - Schedules 11 to 13",#N/A,FALSE,"Revenue $";"RSP Write-Off - Schedules 14 - 15",#N/A,FALSE,"Revenue $"}</definedName>
    <definedName name="wrn.Forecast._.Budget._.Report." hidden="1">{"Forecast Cover",#N/A,FALSE,"Rates";"Revenue - Pages 1 - 8",#N/A,FALSE,"Revenue $";"Rates - Schedules 11 to 13",#N/A,FALSE,"Revenue $";"RSP Write-Off - Schedules 14 - 15",#N/A,FALSE,"Revenue $"}</definedName>
    <definedName name="wrn.LoadReport." localSheetId="0" hidden="1">{"LoadCover",#N/A,FALSE,"Main Menu";"Sch1To10",#N/A,FALSE,"Main Menu"}</definedName>
    <definedName name="wrn.LoadReport." localSheetId="2" hidden="1">{"LoadCover",#N/A,FALSE,"Main Menu";"Sch1To10",#N/A,FALSE,"Main Menu"}</definedName>
    <definedName name="wrn.LoadReport." localSheetId="3" hidden="1">{"LoadCover",#N/A,FALSE,"Main Menu";"Sch1To10",#N/A,FALSE,"Main Menu"}</definedName>
    <definedName name="wrn.LoadReport." hidden="1">{"LoadCover",#N/A,FALSE,"Main Menu";"Sch1To10",#N/A,FALSE,"Main Menu"}</definedName>
    <definedName name="wrn.PrintAll." localSheetId="0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2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3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hidden="1">{"COverPrintAll",#N/A,FALSE,"Revenue $";"RevenuePg1To8",#N/A,FALSE,"Revenue $";"Sch1To10",#N/A,FALSE,"Energy Sales";"Sch11To13",#N/A,FALSE,"Revenue $";"Sch14To20",#N/A,FALSE,"Revenue $";"Sch21",#N/A,FALSE,"Revenue $"}</definedName>
    <definedName name="wrn.PUB._.3._.Isolated._.Systems." localSheetId="0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2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3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4._.Lab._.Interconnected." localSheetId="0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2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3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5._.AED._.Factors." localSheetId="0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2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3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summaries." localSheetId="0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2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3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Sch4.4." localSheetId="0" hidden="1">{"Sch4.4",#N/A,FALSE,"Schedules 5.2,5.3,5.4"}</definedName>
    <definedName name="wrn.Sch4.4." localSheetId="2" hidden="1">{"Sch4.4",#N/A,FALSE,"Schedules 5.2,5.3,5.4"}</definedName>
    <definedName name="wrn.Sch4.4." localSheetId="3" hidden="1">{"Sch4.4",#N/A,FALSE,"Schedules 5.2,5.3,5.4"}</definedName>
    <definedName name="wrn.Sch4.4." hidden="1">{"Sch4.4",#N/A,FALSE,"Schedules 5.2,5.3,5.4"}</definedName>
    <definedName name="Year" localSheetId="0">[2]RunOptions!$B$31</definedName>
    <definedName name="Year" localSheetId="2">[3]RunOptions!$B$31</definedName>
    <definedName name="Year" localSheetId="3">[1]RunOptions!$B$31</definedName>
    <definedName name="Year">[4]RunOptions!$B$31</definedName>
    <definedName name="Yr">#REF!</definedName>
    <definedName name="Z_03CBBAAF_5E1E_11D4_B95C_000629B12FF7_.wvu.Cols" localSheetId="0" hidden="1">#REF!,#REF!,#REF!,#REF!</definedName>
    <definedName name="Z_03CBBAAF_5E1E_11D4_B95C_000629B12FF7_.wvu.Cols" localSheetId="2" hidden="1">#REF!,#REF!,#REF!,#REF!</definedName>
    <definedName name="Z_03CBBAAF_5E1E_11D4_B95C_000629B12FF7_.wvu.Cols" localSheetId="3" hidden="1">#REF!,#REF!,#REF!,#REF!</definedName>
    <definedName name="Z_03CBBAAF_5E1E_11D4_B95C_000629B12FF7_.wvu.Cols" hidden="1">#REF!,#REF!,#REF!,#REF!</definedName>
    <definedName name="Z_03CBBAAF_5E1E_11D4_B95C_000629B12FF7_.wvu.PrintArea" localSheetId="0" hidden="1">'i) F1.2 Mitigation 18.43% Rev'!$A$1:$I$46</definedName>
    <definedName name="Z_03CBBAAF_5E1E_11D4_B95C_000629B12FF7_.wvu.PrintArea" localSheetId="1" hidden="1">'ii)G1.2 No Mitigatation 18.43%'!$A$1:$I$46</definedName>
    <definedName name="Z_03CBBAAF_5E1E_11D4_B95C_000629B12FF7_.wvu.PrintArea" localSheetId="2" hidden="1">'iii) Schedule F 1.2 Filed'!$A$1:$I$46</definedName>
    <definedName name="Z_03CBBAAF_5E1E_11D4_B95C_000629B12FF7_.wvu.PrintArea" localSheetId="3" hidden="1">'iv) Schedule G1.2 Filed'!$A$1:$I$46</definedName>
    <definedName name="Z_03CBBAAF_5E1E_11D4_B95C_000629B12FF7_.wvu.Rows" localSheetId="0" hidden="1">'i) F1.2 Mitigation 18.43% Rev'!$18:$19</definedName>
    <definedName name="Z_03CBBAAF_5E1E_11D4_B95C_000629B12FF7_.wvu.Rows" localSheetId="2" hidden="1">'iii) Schedule F 1.2 Filed'!$18:$19</definedName>
    <definedName name="Z_03CBBAAF_5E1E_11D4_B95C_000629B12FF7_.wvu.Rows" localSheetId="3" hidden="1">'iv) Schedule G1.2 Filed'!$18:$19</definedName>
    <definedName name="Z_03CBBAAF_5E1E_11D4_B95C_000629B12FF7_.wvu.Rows" hidden="1">'ii)G1.2 No Mitigatation 18.43%'!$18:$19</definedName>
    <definedName name="Z_03CBBAB0_5E1E_11D4_B95C_000629B12FF7_.wvu.Cols" localSheetId="0" hidden="1">#REF!,#REF!,#REF!,#REF!</definedName>
    <definedName name="Z_03CBBAB0_5E1E_11D4_B95C_000629B12FF7_.wvu.Cols" localSheetId="2" hidden="1">#REF!,#REF!,#REF!,#REF!</definedName>
    <definedName name="Z_03CBBAB0_5E1E_11D4_B95C_000629B12FF7_.wvu.Cols" localSheetId="3" hidden="1">#REF!,#REF!,#REF!,#REF!</definedName>
    <definedName name="Z_03CBBAB0_5E1E_11D4_B95C_000629B12FF7_.wvu.Cols" hidden="1">#REF!,#REF!,#REF!,#REF!</definedName>
    <definedName name="Z_03CBBAB0_5E1E_11D4_B95C_000629B12FF7_.wvu.PrintArea" localSheetId="0" hidden="1">'i) F1.2 Mitigation 18.43% Rev'!$A$48:$I$94</definedName>
    <definedName name="Z_03CBBAB0_5E1E_11D4_B95C_000629B12FF7_.wvu.PrintArea" localSheetId="1" hidden="1">'ii)G1.2 No Mitigatation 18.43%'!$A$48:$I$94</definedName>
    <definedName name="Z_03CBBAB0_5E1E_11D4_B95C_000629B12FF7_.wvu.PrintArea" localSheetId="2" hidden="1">'iii) Schedule F 1.2 Filed'!$A$48:$I$94</definedName>
    <definedName name="Z_03CBBAB0_5E1E_11D4_B95C_000629B12FF7_.wvu.PrintArea" localSheetId="3" hidden="1">'iv) Schedule G1.2 Filed'!$A$48:$I$94</definedName>
    <definedName name="Z_03CBBAB2_5E1E_11D4_B95C_000629B12FF7_.wvu.Cols" localSheetId="0" hidden="1">#REF!,#REF!,#REF!,#REF!</definedName>
    <definedName name="Z_03CBBAB2_5E1E_11D4_B95C_000629B12FF7_.wvu.Cols" localSheetId="2" hidden="1">#REF!,#REF!,#REF!,#REF!</definedName>
    <definedName name="Z_03CBBAB2_5E1E_11D4_B95C_000629B12FF7_.wvu.Cols" localSheetId="3" hidden="1">#REF!,#REF!,#REF!,#REF!</definedName>
    <definedName name="Z_03CBBAB2_5E1E_11D4_B95C_000629B12FF7_.wvu.Cols" hidden="1">#REF!,#REF!,#REF!,#REF!</definedName>
    <definedName name="Z_03CBBAB2_5E1E_11D4_B95C_000629B12FF7_.wvu.PrintArea" localSheetId="0" hidden="1">'i) F1.2 Mitigation 18.43% Rev'!$A$205:$H$244</definedName>
    <definedName name="Z_03CBBAB2_5E1E_11D4_B95C_000629B12FF7_.wvu.PrintArea" localSheetId="1" hidden="1">'ii)G1.2 No Mitigatation 18.43%'!$A$205:$H$244</definedName>
    <definedName name="Z_03CBBAB2_5E1E_11D4_B95C_000629B12FF7_.wvu.PrintArea" localSheetId="2" hidden="1">'iii) Schedule F 1.2 Filed'!$A$205:$H$244</definedName>
    <definedName name="Z_03CBBAB2_5E1E_11D4_B95C_000629B12FF7_.wvu.PrintArea" localSheetId="3" hidden="1">'iv) Schedule G1.2 Filed'!$A$205:$H$244</definedName>
    <definedName name="Z_03CBBAB4_5E1E_11D4_B95C_000629B12FF7_.wvu.Cols" localSheetId="0" hidden="1">#REF!,#REF!,#REF!,#REF!</definedName>
    <definedName name="Z_03CBBAB4_5E1E_11D4_B95C_000629B12FF7_.wvu.Cols" localSheetId="2" hidden="1">#REF!,#REF!,#REF!,#REF!</definedName>
    <definedName name="Z_03CBBAB4_5E1E_11D4_B95C_000629B12FF7_.wvu.Cols" localSheetId="3" hidden="1">#REF!,#REF!,#REF!,#REF!</definedName>
    <definedName name="Z_03CBBAB4_5E1E_11D4_B95C_000629B12FF7_.wvu.Cols" hidden="1">#REF!,#REF!,#REF!,#REF!</definedName>
    <definedName name="Z_03CBBAB4_5E1E_11D4_B95C_000629B12FF7_.wvu.PrintArea" localSheetId="0" hidden="1">'i) F1.2 Mitigation 18.43% Rev'!$A$255:$G$326</definedName>
    <definedName name="Z_03CBBAB4_5E1E_11D4_B95C_000629B12FF7_.wvu.PrintArea" localSheetId="1" hidden="1">'ii)G1.2 No Mitigatation 18.43%'!$A$255:$G$326</definedName>
    <definedName name="Z_03CBBAB4_5E1E_11D4_B95C_000629B12FF7_.wvu.PrintArea" localSheetId="2" hidden="1">'iii) Schedule F 1.2 Filed'!$A$255:$G$326</definedName>
    <definedName name="Z_03CBBAB4_5E1E_11D4_B95C_000629B12FF7_.wvu.PrintArea" localSheetId="3" hidden="1">'iv) Schedule G1.2 Filed'!$A$255:$G$326</definedName>
    <definedName name="Z_03CBBAB5_5E1E_11D4_B95C_000629B12FF7_.wvu.Cols" localSheetId="0" hidden="1">#REF!,#REF!,#REF!,#REF!</definedName>
    <definedName name="Z_03CBBAB5_5E1E_11D4_B95C_000629B12FF7_.wvu.Cols" localSheetId="2" hidden="1">#REF!,#REF!,#REF!,#REF!</definedName>
    <definedName name="Z_03CBBAB5_5E1E_11D4_B95C_000629B12FF7_.wvu.Cols" localSheetId="3" hidden="1">#REF!,#REF!,#REF!,#REF!</definedName>
    <definedName name="Z_03CBBAB5_5E1E_11D4_B95C_000629B12FF7_.wvu.Cols" hidden="1">#REF!,#REF!,#REF!,#REF!</definedName>
    <definedName name="Z_03CBBAB5_5E1E_11D4_B95C_000629B12FF7_.wvu.PrintArea" localSheetId="0" hidden="1">'i) F1.2 Mitigation 18.43% Rev'!#REF!</definedName>
    <definedName name="Z_03CBBAB5_5E1E_11D4_B95C_000629B12FF7_.wvu.PrintArea" localSheetId="1" hidden="1">'ii)G1.2 No Mitigatation 18.43%'!#REF!</definedName>
    <definedName name="Z_03CBBAB5_5E1E_11D4_B95C_000629B12FF7_.wvu.PrintArea" localSheetId="2" hidden="1">'iii) Schedule F 1.2 Filed'!#REF!</definedName>
    <definedName name="Z_03CBBAB5_5E1E_11D4_B95C_000629B12FF7_.wvu.PrintArea" localSheetId="3" hidden="1">'iv) Schedule G1.2 Filed'!#REF!</definedName>
    <definedName name="Z_03CBBAB6_5E1E_11D4_B95C_000629B12FF7_.wvu.Cols" localSheetId="0" hidden="1">#REF!,#REF!,#REF!,#REF!</definedName>
    <definedName name="Z_03CBBAB6_5E1E_11D4_B95C_000629B12FF7_.wvu.Cols" localSheetId="2" hidden="1">#REF!,#REF!,#REF!,#REF!</definedName>
    <definedName name="Z_03CBBAB6_5E1E_11D4_B95C_000629B12FF7_.wvu.Cols" localSheetId="3" hidden="1">#REF!,#REF!,#REF!,#REF!</definedName>
    <definedName name="Z_03CBBAB6_5E1E_11D4_B95C_000629B12FF7_.wvu.Cols" hidden="1">#REF!,#REF!,#REF!,#REF!</definedName>
    <definedName name="Z_03CBBAB6_5E1E_11D4_B95C_000629B12FF7_.wvu.PrintArea" localSheetId="0" hidden="1">'i) F1.2 Mitigation 18.43% Rev'!#REF!</definedName>
    <definedName name="Z_03CBBAB6_5E1E_11D4_B95C_000629B12FF7_.wvu.PrintArea" localSheetId="1" hidden="1">'ii)G1.2 No Mitigatation 18.43%'!#REF!</definedName>
    <definedName name="Z_03CBBAB6_5E1E_11D4_B95C_000629B12FF7_.wvu.PrintArea" localSheetId="2" hidden="1">'iii) Schedule F 1.2 Filed'!#REF!</definedName>
    <definedName name="Z_03CBBAB6_5E1E_11D4_B95C_000629B12FF7_.wvu.PrintArea" localSheetId="3" hidden="1">'iv) Schedule G1.2 Filed'!#REF!</definedName>
    <definedName name="Z_03CBBAB7_5E1E_11D4_B95C_000629B12FF7_.wvu.Cols" localSheetId="0" hidden="1">#REF!,#REF!,#REF!,#REF!</definedName>
    <definedName name="Z_03CBBAB7_5E1E_11D4_B95C_000629B12FF7_.wvu.Cols" localSheetId="2" hidden="1">#REF!,#REF!,#REF!,#REF!</definedName>
    <definedName name="Z_03CBBAB7_5E1E_11D4_B95C_000629B12FF7_.wvu.Cols" localSheetId="3" hidden="1">#REF!,#REF!,#REF!,#REF!</definedName>
    <definedName name="Z_03CBBAB7_5E1E_11D4_B95C_000629B12FF7_.wvu.Cols" hidden="1">#REF!,#REF!,#REF!,#REF!</definedName>
    <definedName name="Z_03CBBAB7_5E1E_11D4_B95C_000629B12FF7_.wvu.PrintArea" localSheetId="0" hidden="1">'i) F1.2 Mitigation 18.43% Rev'!#REF!</definedName>
    <definedName name="Z_03CBBAB7_5E1E_11D4_B95C_000629B12FF7_.wvu.PrintArea" localSheetId="1" hidden="1">'ii)G1.2 No Mitigatation 18.43%'!#REF!</definedName>
    <definedName name="Z_03CBBAB7_5E1E_11D4_B95C_000629B12FF7_.wvu.PrintArea" localSheetId="2" hidden="1">'iii) Schedule F 1.2 Filed'!#REF!</definedName>
    <definedName name="Z_03CBBAB7_5E1E_11D4_B95C_000629B12FF7_.wvu.PrintArea" localSheetId="3" hidden="1">'iv) Schedule G1.2 Filed'!#REF!</definedName>
    <definedName name="Z_03CBBAB8_5E1E_11D4_B95C_000629B12FF7_.wvu.Cols" localSheetId="0" hidden="1">#REF!,#REF!,#REF!,#REF!</definedName>
    <definedName name="Z_03CBBAB8_5E1E_11D4_B95C_000629B12FF7_.wvu.Cols" localSheetId="2" hidden="1">#REF!,#REF!,#REF!,#REF!</definedName>
    <definedName name="Z_03CBBAB8_5E1E_11D4_B95C_000629B12FF7_.wvu.Cols" localSheetId="3" hidden="1">#REF!,#REF!,#REF!,#REF!</definedName>
    <definedName name="Z_03CBBAB8_5E1E_11D4_B95C_000629B12FF7_.wvu.Cols" hidden="1">#REF!,#REF!,#REF!,#REF!</definedName>
    <definedName name="Z_03CBBAB8_5E1E_11D4_B95C_000629B12FF7_.wvu.PrintArea" localSheetId="0" hidden="1">'i) F1.2 Mitigation 18.43% Rev'!#REF!</definedName>
    <definedName name="Z_03CBBAB8_5E1E_11D4_B95C_000629B12FF7_.wvu.PrintArea" localSheetId="1" hidden="1">'ii)G1.2 No Mitigatation 18.43%'!#REF!</definedName>
    <definedName name="Z_03CBBAB8_5E1E_11D4_B95C_000629B12FF7_.wvu.PrintArea" localSheetId="2" hidden="1">'iii) Schedule F 1.2 Filed'!#REF!</definedName>
    <definedName name="Z_03CBBAB8_5E1E_11D4_B95C_000629B12FF7_.wvu.PrintArea" localSheetId="3" hidden="1">'iv) Schedule G1.2 Filed'!#REF!</definedName>
    <definedName name="Z_03CBBAB9_5E1E_11D4_B95C_000629B12FF7_.wvu.Cols" localSheetId="0" hidden="1">#REF!,#REF!,#REF!,#REF!</definedName>
    <definedName name="Z_03CBBAB9_5E1E_11D4_B95C_000629B12FF7_.wvu.Cols" localSheetId="2" hidden="1">#REF!,#REF!,#REF!,#REF!</definedName>
    <definedName name="Z_03CBBAB9_5E1E_11D4_B95C_000629B12FF7_.wvu.Cols" localSheetId="3" hidden="1">#REF!,#REF!,#REF!,#REF!</definedName>
    <definedName name="Z_03CBBAB9_5E1E_11D4_B95C_000629B12FF7_.wvu.Cols" hidden="1">#REF!,#REF!,#REF!,#REF!</definedName>
    <definedName name="Z_03CBBAB9_5E1E_11D4_B95C_000629B12FF7_.wvu.PrintArea" localSheetId="0" hidden="1">'i) F1.2 Mitigation 18.43% Rev'!#REF!</definedName>
    <definedName name="Z_03CBBAB9_5E1E_11D4_B95C_000629B12FF7_.wvu.PrintArea" localSheetId="1" hidden="1">'ii)G1.2 No Mitigatation 18.43%'!#REF!</definedName>
    <definedName name="Z_03CBBAB9_5E1E_11D4_B95C_000629B12FF7_.wvu.PrintArea" localSheetId="2" hidden="1">'iii) Schedule F 1.2 Filed'!#REF!</definedName>
    <definedName name="Z_03CBBAB9_5E1E_11D4_B95C_000629B12FF7_.wvu.PrintArea" localSheetId="3" hidden="1">'iv) Schedule G1.2 Filed'!#REF!</definedName>
    <definedName name="Z_03CBBABA_5E1E_11D4_B95C_000629B12FF7_.wvu.Cols" localSheetId="0" hidden="1">#REF!,#REF!,#REF!,#REF!</definedName>
    <definedName name="Z_03CBBABA_5E1E_11D4_B95C_000629B12FF7_.wvu.Cols" localSheetId="2" hidden="1">#REF!,#REF!,#REF!,#REF!</definedName>
    <definedName name="Z_03CBBABA_5E1E_11D4_B95C_000629B12FF7_.wvu.Cols" localSheetId="3" hidden="1">#REF!,#REF!,#REF!,#REF!</definedName>
    <definedName name="Z_03CBBABA_5E1E_11D4_B95C_000629B12FF7_.wvu.Cols" hidden="1">#REF!,#REF!,#REF!,#REF!</definedName>
    <definedName name="Z_03CBBABA_5E1E_11D4_B95C_000629B12FF7_.wvu.PrintArea" localSheetId="0" hidden="1">'i) F1.2 Mitigation 18.43% Rev'!#REF!</definedName>
    <definedName name="Z_03CBBABA_5E1E_11D4_B95C_000629B12FF7_.wvu.PrintArea" localSheetId="1" hidden="1">'ii)G1.2 No Mitigatation 18.43%'!#REF!</definedName>
    <definedName name="Z_03CBBABA_5E1E_11D4_B95C_000629B12FF7_.wvu.PrintArea" localSheetId="2" hidden="1">'iii) Schedule F 1.2 Filed'!#REF!</definedName>
    <definedName name="Z_03CBBABA_5E1E_11D4_B95C_000629B12FF7_.wvu.PrintArea" localSheetId="3" hidden="1">'iv) Schedule G1.2 Filed'!#REF!</definedName>
    <definedName name="Z_03CBBABB_5E1E_11D4_B95C_000629B12FF7_.wvu.Cols" localSheetId="0" hidden="1">#REF!,#REF!,#REF!,#REF!</definedName>
    <definedName name="Z_03CBBABB_5E1E_11D4_B95C_000629B12FF7_.wvu.Cols" localSheetId="2" hidden="1">#REF!,#REF!,#REF!,#REF!</definedName>
    <definedName name="Z_03CBBABB_5E1E_11D4_B95C_000629B12FF7_.wvu.Cols" localSheetId="3" hidden="1">#REF!,#REF!,#REF!,#REF!</definedName>
    <definedName name="Z_03CBBABB_5E1E_11D4_B95C_000629B12FF7_.wvu.Cols" hidden="1">#REF!,#REF!,#REF!,#REF!</definedName>
    <definedName name="Z_03CBBABB_5E1E_11D4_B95C_000629B12FF7_.wvu.PrintArea" localSheetId="0" hidden="1">'i) F1.2 Mitigation 18.43% Rev'!#REF!</definedName>
    <definedName name="Z_03CBBABB_5E1E_11D4_B95C_000629B12FF7_.wvu.PrintArea" localSheetId="1" hidden="1">'ii)G1.2 No Mitigatation 18.43%'!#REF!</definedName>
    <definedName name="Z_03CBBABB_5E1E_11D4_B95C_000629B12FF7_.wvu.PrintArea" localSheetId="2" hidden="1">'iii) Schedule F 1.2 Filed'!#REF!</definedName>
    <definedName name="Z_03CBBABB_5E1E_11D4_B95C_000629B12FF7_.wvu.PrintArea" localSheetId="3" hidden="1">'iv) Schedule G1.2 Filed'!#REF!</definedName>
    <definedName name="Z_03CBBABC_5E1E_11D4_B95C_000629B12FF7_.wvu.Cols" localSheetId="0" hidden="1">#REF!,#REF!,#REF!,#REF!</definedName>
    <definedName name="Z_03CBBABC_5E1E_11D4_B95C_000629B12FF7_.wvu.Cols" localSheetId="2" hidden="1">#REF!,#REF!,#REF!,#REF!</definedName>
    <definedName name="Z_03CBBABC_5E1E_11D4_B95C_000629B12FF7_.wvu.Cols" localSheetId="3" hidden="1">#REF!,#REF!,#REF!,#REF!</definedName>
    <definedName name="Z_03CBBABC_5E1E_11D4_B95C_000629B12FF7_.wvu.Cols" hidden="1">#REF!,#REF!,#REF!,#REF!</definedName>
    <definedName name="Z_03CBBABC_5E1E_11D4_B95C_000629B12FF7_.wvu.PrintArea" localSheetId="0" hidden="1">'i) F1.2 Mitigation 18.43% Rev'!#REF!</definedName>
    <definedName name="Z_03CBBABC_5E1E_11D4_B95C_000629B12FF7_.wvu.PrintArea" localSheetId="1" hidden="1">'ii)G1.2 No Mitigatation 18.43%'!#REF!</definedName>
    <definedName name="Z_03CBBABC_5E1E_11D4_B95C_000629B12FF7_.wvu.PrintArea" localSheetId="2" hidden="1">'iii) Schedule F 1.2 Filed'!#REF!</definedName>
    <definedName name="Z_03CBBABC_5E1E_11D4_B95C_000629B12FF7_.wvu.PrintArea" localSheetId="3" hidden="1">'iv) Schedule G1.2 Filed'!#REF!</definedName>
    <definedName name="Z_03CBBABD_5E1E_11D4_B95C_000629B12FF7_.wvu.Cols" localSheetId="0" hidden="1">#REF!,#REF!,#REF!,#REF!</definedName>
    <definedName name="Z_03CBBABD_5E1E_11D4_B95C_000629B12FF7_.wvu.Cols" localSheetId="2" hidden="1">#REF!,#REF!,#REF!,#REF!</definedName>
    <definedName name="Z_03CBBABD_5E1E_11D4_B95C_000629B12FF7_.wvu.Cols" localSheetId="3" hidden="1">#REF!,#REF!,#REF!,#REF!</definedName>
    <definedName name="Z_03CBBABD_5E1E_11D4_B95C_000629B12FF7_.wvu.Cols" hidden="1">#REF!,#REF!,#REF!,#REF!</definedName>
    <definedName name="Z_03CBBABD_5E1E_11D4_B95C_000629B12FF7_.wvu.PrintArea" localSheetId="0" hidden="1">'i) F1.2 Mitigation 18.43% Rev'!#REF!</definedName>
    <definedName name="Z_03CBBABD_5E1E_11D4_B95C_000629B12FF7_.wvu.PrintArea" localSheetId="1" hidden="1">'ii)G1.2 No Mitigatation 18.43%'!#REF!</definedName>
    <definedName name="Z_03CBBABD_5E1E_11D4_B95C_000629B12FF7_.wvu.PrintArea" localSheetId="2" hidden="1">'iii) Schedule F 1.2 Filed'!#REF!</definedName>
    <definedName name="Z_03CBBABD_5E1E_11D4_B95C_000629B12FF7_.wvu.PrintArea" localSheetId="3" hidden="1">'iv) Schedule G1.2 Filed'!#REF!</definedName>
    <definedName name="Z_03CBBABE_5E1E_11D4_B95C_000629B12FF7_.wvu.Cols" localSheetId="0" hidden="1">#REF!,#REF!,#REF!,#REF!</definedName>
    <definedName name="Z_03CBBABE_5E1E_11D4_B95C_000629B12FF7_.wvu.Cols" localSheetId="2" hidden="1">#REF!,#REF!,#REF!,#REF!</definedName>
    <definedName name="Z_03CBBABE_5E1E_11D4_B95C_000629B12FF7_.wvu.Cols" localSheetId="3" hidden="1">#REF!,#REF!,#REF!,#REF!</definedName>
    <definedName name="Z_03CBBABE_5E1E_11D4_B95C_000629B12FF7_.wvu.Cols" hidden="1">#REF!,#REF!,#REF!,#REF!</definedName>
    <definedName name="Z_03CBBABE_5E1E_11D4_B95C_000629B12FF7_.wvu.PrintArea" localSheetId="0" hidden="1">'i) F1.2 Mitigation 18.43% Rev'!#REF!</definedName>
    <definedName name="Z_03CBBABE_5E1E_11D4_B95C_000629B12FF7_.wvu.PrintArea" localSheetId="1" hidden="1">'ii)G1.2 No Mitigatation 18.43%'!#REF!</definedName>
    <definedName name="Z_03CBBABE_5E1E_11D4_B95C_000629B12FF7_.wvu.PrintArea" localSheetId="2" hidden="1">'iii) Schedule F 1.2 Filed'!#REF!</definedName>
    <definedName name="Z_03CBBABE_5E1E_11D4_B95C_000629B12FF7_.wvu.PrintArea" localSheetId="3" hidden="1">'iv) Schedule G1.2 Filed'!#REF!</definedName>
    <definedName name="Z_03CBBABF_5E1E_11D4_B95C_000629B12FF7_.wvu.Cols" localSheetId="0" hidden="1">#REF!,#REF!,#REF!,#REF!</definedName>
    <definedName name="Z_03CBBABF_5E1E_11D4_B95C_000629B12FF7_.wvu.Cols" localSheetId="2" hidden="1">#REF!,#REF!,#REF!,#REF!</definedName>
    <definedName name="Z_03CBBABF_5E1E_11D4_B95C_000629B12FF7_.wvu.Cols" localSheetId="3" hidden="1">#REF!,#REF!,#REF!,#REF!</definedName>
    <definedName name="Z_03CBBABF_5E1E_11D4_B95C_000629B12FF7_.wvu.Cols" hidden="1">#REF!,#REF!,#REF!,#REF!</definedName>
    <definedName name="Z_03CBBABF_5E1E_11D4_B95C_000629B12FF7_.wvu.PrintArea" localSheetId="0" hidden="1">'i) F1.2 Mitigation 18.43% Rev'!#REF!</definedName>
    <definedName name="Z_03CBBABF_5E1E_11D4_B95C_000629B12FF7_.wvu.PrintArea" localSheetId="1" hidden="1">'ii)G1.2 No Mitigatation 18.43%'!#REF!</definedName>
    <definedName name="Z_03CBBABF_5E1E_11D4_B95C_000629B12FF7_.wvu.PrintArea" localSheetId="2" hidden="1">'iii) Schedule F 1.2 Filed'!#REF!</definedName>
    <definedName name="Z_03CBBABF_5E1E_11D4_B95C_000629B12FF7_.wvu.PrintArea" localSheetId="3" hidden="1">'iv) Schedule G1.2 Filed'!#REF!</definedName>
    <definedName name="Z_03CBBAC0_5E1E_11D4_B95C_000629B12FF7_.wvu.Cols" localSheetId="0" hidden="1">#REF!,#REF!,#REF!,#REF!</definedName>
    <definedName name="Z_03CBBAC0_5E1E_11D4_B95C_000629B12FF7_.wvu.Cols" localSheetId="2" hidden="1">#REF!,#REF!,#REF!,#REF!</definedName>
    <definedName name="Z_03CBBAC0_5E1E_11D4_B95C_000629B12FF7_.wvu.Cols" localSheetId="3" hidden="1">#REF!,#REF!,#REF!,#REF!</definedName>
    <definedName name="Z_03CBBAC0_5E1E_11D4_B95C_000629B12FF7_.wvu.Cols" hidden="1">#REF!,#REF!,#REF!,#REF!</definedName>
    <definedName name="Z_03CBBAC0_5E1E_11D4_B95C_000629B12FF7_.wvu.PrintArea" localSheetId="0" hidden="1">'i) F1.2 Mitigation 18.43% Rev'!#REF!</definedName>
    <definedName name="Z_03CBBAC0_5E1E_11D4_B95C_000629B12FF7_.wvu.PrintArea" localSheetId="1" hidden="1">'ii)G1.2 No Mitigatation 18.43%'!#REF!</definedName>
    <definedName name="Z_03CBBAC0_5E1E_11D4_B95C_000629B12FF7_.wvu.PrintArea" localSheetId="2" hidden="1">'iii) Schedule F 1.2 Filed'!#REF!</definedName>
    <definedName name="Z_03CBBAC0_5E1E_11D4_B95C_000629B12FF7_.wvu.PrintArea" localSheetId="3" hidden="1">'iv) Schedule G1.2 Filed'!#REF!</definedName>
    <definedName name="Z_03CBBAC1_5E1E_11D4_B95C_000629B12FF7_.wvu.Cols" localSheetId="0" hidden="1">#REF!,#REF!,#REF!,#REF!</definedName>
    <definedName name="Z_03CBBAC1_5E1E_11D4_B95C_000629B12FF7_.wvu.Cols" localSheetId="2" hidden="1">#REF!,#REF!,#REF!,#REF!</definedName>
    <definedName name="Z_03CBBAC1_5E1E_11D4_B95C_000629B12FF7_.wvu.Cols" localSheetId="3" hidden="1">#REF!,#REF!,#REF!,#REF!</definedName>
    <definedName name="Z_03CBBAC1_5E1E_11D4_B95C_000629B12FF7_.wvu.Cols" hidden="1">#REF!,#REF!,#REF!,#REF!</definedName>
    <definedName name="Z_03CBBAC1_5E1E_11D4_B95C_000629B12FF7_.wvu.PrintArea" localSheetId="0" hidden="1">'i) F1.2 Mitigation 18.43% Rev'!#REF!</definedName>
    <definedName name="Z_03CBBAC1_5E1E_11D4_B95C_000629B12FF7_.wvu.PrintArea" localSheetId="1" hidden="1">'ii)G1.2 No Mitigatation 18.43%'!#REF!</definedName>
    <definedName name="Z_03CBBAC1_5E1E_11D4_B95C_000629B12FF7_.wvu.PrintArea" localSheetId="2" hidden="1">'iii) Schedule F 1.2 Filed'!#REF!</definedName>
    <definedName name="Z_03CBBAC1_5E1E_11D4_B95C_000629B12FF7_.wvu.PrintArea" localSheetId="3" hidden="1">'iv) Schedule G1.2 Filed'!#REF!</definedName>
    <definedName name="Z_03CBBAC2_5E1E_11D4_B95C_000629B12FF7_.wvu.PrintArea" localSheetId="0" hidden="1">'i) F1.2 Mitigation 18.43% Rev'!#REF!</definedName>
    <definedName name="Z_03CBBAC2_5E1E_11D4_B95C_000629B12FF7_.wvu.PrintArea" localSheetId="1" hidden="1">'ii)G1.2 No Mitigatation 18.43%'!#REF!</definedName>
    <definedName name="Z_03CBBAC2_5E1E_11D4_B95C_000629B12FF7_.wvu.PrintArea" localSheetId="2" hidden="1">'iii) Schedule F 1.2 Filed'!#REF!</definedName>
    <definedName name="Z_03CBBAC2_5E1E_11D4_B95C_000629B12FF7_.wvu.PrintArea" localSheetId="3" hidden="1">'iv) Schedule G1.2 Filed'!#REF!</definedName>
    <definedName name="Z_03CBBAC3_5E1E_11D4_B95C_000629B12FF7_.wvu.PrintArea" localSheetId="0" hidden="1">'i) F1.2 Mitigation 18.43% Rev'!#REF!</definedName>
    <definedName name="Z_03CBBAC3_5E1E_11D4_B95C_000629B12FF7_.wvu.PrintArea" localSheetId="1" hidden="1">'ii)G1.2 No Mitigatation 18.43%'!#REF!</definedName>
    <definedName name="Z_03CBBAC3_5E1E_11D4_B95C_000629B12FF7_.wvu.PrintArea" localSheetId="2" hidden="1">'iii) Schedule F 1.2 Filed'!#REF!</definedName>
    <definedName name="Z_03CBBAC3_5E1E_11D4_B95C_000629B12FF7_.wvu.PrintArea" localSheetId="3" hidden="1">'iv) Schedule G1.2 Filed'!#REF!</definedName>
    <definedName name="Z_03CBBAC4_5E1E_11D4_B95C_000629B12FF7_.wvu.PrintArea" localSheetId="0" hidden="1">'i) F1.2 Mitigation 18.43% Rev'!#REF!</definedName>
    <definedName name="Z_03CBBAC4_5E1E_11D4_B95C_000629B12FF7_.wvu.PrintArea" localSheetId="1" hidden="1">'ii)G1.2 No Mitigatation 18.43%'!#REF!</definedName>
    <definedName name="Z_03CBBAC4_5E1E_11D4_B95C_000629B12FF7_.wvu.PrintArea" localSheetId="2" hidden="1">'iii) Schedule F 1.2 Filed'!#REF!</definedName>
    <definedName name="Z_03CBBAC4_5E1E_11D4_B95C_000629B12FF7_.wvu.PrintArea" localSheetId="3" hidden="1">'iv) Schedule G1.2 Filed'!#REF!</definedName>
    <definedName name="Z_03CBBAC5_5E1E_11D4_B95C_000629B12FF7_.wvu.PrintArea" localSheetId="0" hidden="1">'i) F1.2 Mitigation 18.43% Rev'!#REF!</definedName>
    <definedName name="Z_03CBBAC5_5E1E_11D4_B95C_000629B12FF7_.wvu.PrintArea" localSheetId="1" hidden="1">'ii)G1.2 No Mitigatation 18.43%'!#REF!</definedName>
    <definedName name="Z_03CBBAC5_5E1E_11D4_B95C_000629B12FF7_.wvu.PrintArea" localSheetId="2" hidden="1">'iii) Schedule F 1.2 Filed'!#REF!</definedName>
    <definedName name="Z_03CBBAC5_5E1E_11D4_B95C_000629B12FF7_.wvu.PrintArea" localSheetId="3" hidden="1">'iv) Schedule G1.2 Filed'!#REF!</definedName>
    <definedName name="Z_03CBBAC7_5E1E_11D4_B95C_000629B12FF7_.wvu.PrintArea" localSheetId="0" hidden="1">'i) F1.2 Mitigation 18.43% Rev'!#REF!</definedName>
    <definedName name="Z_03CBBAC7_5E1E_11D4_B95C_000629B12FF7_.wvu.PrintArea" localSheetId="1" hidden="1">'ii)G1.2 No Mitigatation 18.43%'!#REF!</definedName>
    <definedName name="Z_03CBBAC7_5E1E_11D4_B95C_000629B12FF7_.wvu.PrintArea" localSheetId="2" hidden="1">'iii) Schedule F 1.2 Filed'!#REF!</definedName>
    <definedName name="Z_03CBBAC7_5E1E_11D4_B95C_000629B12FF7_.wvu.PrintArea" localSheetId="3" hidden="1">'iv) Schedule G1.2 Filed'!#REF!</definedName>
    <definedName name="Z_03CBBACA_5E1E_11D4_B95C_000629B12FF7_.wvu.PrintArea" localSheetId="0" hidden="1">'i) F1.2 Mitigation 18.43% Rev'!#REF!</definedName>
    <definedName name="Z_03CBBACA_5E1E_11D4_B95C_000629B12FF7_.wvu.PrintArea" localSheetId="1" hidden="1">'ii)G1.2 No Mitigatation 18.43%'!#REF!</definedName>
    <definedName name="Z_03CBBACA_5E1E_11D4_B95C_000629B12FF7_.wvu.PrintArea" localSheetId="2" hidden="1">'iii) Schedule F 1.2 Filed'!#REF!</definedName>
    <definedName name="Z_03CBBACA_5E1E_11D4_B95C_000629B12FF7_.wvu.PrintArea" localSheetId="3" hidden="1">'iv) Schedule G1.2 Filed'!#REF!</definedName>
    <definedName name="Z_03CBBACB_5E1E_11D4_B95C_000629B12FF7_.wvu.PrintArea" localSheetId="0" hidden="1">'i) F1.2 Mitigation 18.43% Rev'!#REF!</definedName>
    <definedName name="Z_03CBBACB_5E1E_11D4_B95C_000629B12FF7_.wvu.PrintArea" localSheetId="1" hidden="1">'ii)G1.2 No Mitigatation 18.43%'!#REF!</definedName>
    <definedName name="Z_03CBBACB_5E1E_11D4_B95C_000629B12FF7_.wvu.PrintArea" localSheetId="2" hidden="1">'iii) Schedule F 1.2 Filed'!#REF!</definedName>
    <definedName name="Z_03CBBACB_5E1E_11D4_B95C_000629B12FF7_.wvu.PrintArea" localSheetId="3" hidden="1">'iv) Schedule G1.2 Filed'!#REF!</definedName>
    <definedName name="Z_03CBBACC_5E1E_11D4_B95C_000629B12FF7_.wvu.PrintArea" localSheetId="0" hidden="1">'i) F1.2 Mitigation 18.43% Rev'!#REF!</definedName>
    <definedName name="Z_03CBBACC_5E1E_11D4_B95C_000629B12FF7_.wvu.PrintArea" localSheetId="1" hidden="1">'ii)G1.2 No Mitigatation 18.43%'!#REF!</definedName>
    <definedName name="Z_03CBBACC_5E1E_11D4_B95C_000629B12FF7_.wvu.PrintArea" localSheetId="2" hidden="1">'iii) Schedule F 1.2 Filed'!#REF!</definedName>
    <definedName name="Z_03CBBACC_5E1E_11D4_B95C_000629B12FF7_.wvu.PrintArea" localSheetId="3" hidden="1">'iv) Schedule G1.2 Filed'!#REF!</definedName>
    <definedName name="Z_03CBBACD_5E1E_11D4_B95C_000629B12FF7_.wvu.PrintArea" localSheetId="0" hidden="1">'i) F1.2 Mitigation 18.43% Rev'!#REF!</definedName>
    <definedName name="Z_03CBBACD_5E1E_11D4_B95C_000629B12FF7_.wvu.PrintArea" localSheetId="1" hidden="1">'ii)G1.2 No Mitigatation 18.43%'!#REF!</definedName>
    <definedName name="Z_03CBBACD_5E1E_11D4_B95C_000629B12FF7_.wvu.PrintArea" localSheetId="2" hidden="1">'iii) Schedule F 1.2 Filed'!#REF!</definedName>
    <definedName name="Z_03CBBACD_5E1E_11D4_B95C_000629B12FF7_.wvu.PrintArea" localSheetId="3" hidden="1">'iv) Schedule G1.2 Filed'!#REF!</definedName>
    <definedName name="Z_03CBBACE_5E1E_11D4_B95C_000629B12FF7_.wvu.PrintArea" localSheetId="0" hidden="1">'i) F1.2 Mitigation 18.43% Rev'!#REF!</definedName>
    <definedName name="Z_03CBBACE_5E1E_11D4_B95C_000629B12FF7_.wvu.PrintArea" localSheetId="1" hidden="1">'ii)G1.2 No Mitigatation 18.43%'!#REF!</definedName>
    <definedName name="Z_03CBBACE_5E1E_11D4_B95C_000629B12FF7_.wvu.PrintArea" localSheetId="2" hidden="1">'iii) Schedule F 1.2 Filed'!#REF!</definedName>
    <definedName name="Z_03CBBACE_5E1E_11D4_B95C_000629B12FF7_.wvu.PrintArea" localSheetId="3" hidden="1">'iv) Schedule G1.2 Filed'!#REF!</definedName>
    <definedName name="Z_03CBBACF_5E1E_11D4_B95C_000629B12FF7_.wvu.PrintArea" localSheetId="0" hidden="1">'i) F1.2 Mitigation 18.43% Rev'!#REF!</definedName>
    <definedName name="Z_03CBBACF_5E1E_11D4_B95C_000629B12FF7_.wvu.PrintArea" localSheetId="1" hidden="1">'ii)G1.2 No Mitigatation 18.43%'!#REF!</definedName>
    <definedName name="Z_03CBBACF_5E1E_11D4_B95C_000629B12FF7_.wvu.PrintArea" localSheetId="2" hidden="1">'iii) Schedule F 1.2 Filed'!#REF!</definedName>
    <definedName name="Z_03CBBACF_5E1E_11D4_B95C_000629B12FF7_.wvu.PrintArea" localSheetId="3" hidden="1">'iv) Schedule G1.2 Filed'!#REF!</definedName>
    <definedName name="Z_03CBBAD0_5E1E_11D4_B95C_000629B12FF7_.wvu.PrintArea" localSheetId="0" hidden="1">'i) F1.2 Mitigation 18.43% Rev'!#REF!</definedName>
    <definedName name="Z_03CBBAD0_5E1E_11D4_B95C_000629B12FF7_.wvu.PrintArea" localSheetId="1" hidden="1">'ii)G1.2 No Mitigatation 18.43%'!#REF!</definedName>
    <definedName name="Z_03CBBAD0_5E1E_11D4_B95C_000629B12FF7_.wvu.PrintArea" localSheetId="2" hidden="1">'iii) Schedule F 1.2 Filed'!#REF!</definedName>
    <definedName name="Z_03CBBAD0_5E1E_11D4_B95C_000629B12FF7_.wvu.PrintArea" localSheetId="3" hidden="1">'iv) Schedule G1.2 Filed'!#REF!</definedName>
    <definedName name="Z_03CBBAD2_5E1E_11D4_B95C_000629B12FF7_.wvu.PrintArea" localSheetId="0" hidden="1">'i) F1.2 Mitigation 18.43% Rev'!#REF!</definedName>
    <definedName name="Z_03CBBAD2_5E1E_11D4_B95C_000629B12FF7_.wvu.PrintArea" localSheetId="1" hidden="1">'ii)G1.2 No Mitigatation 18.43%'!#REF!</definedName>
    <definedName name="Z_03CBBAD2_5E1E_11D4_B95C_000629B12FF7_.wvu.PrintArea" localSheetId="2" hidden="1">'iii) Schedule F 1.2 Filed'!#REF!</definedName>
    <definedName name="Z_03CBBAD2_5E1E_11D4_B95C_000629B12FF7_.wvu.PrintArea" localSheetId="3" hidden="1">'iv) Schedule G1.2 Filed'!#REF!</definedName>
    <definedName name="Z_03CBBAD3_5E1E_11D4_B95C_000629B12FF7_.wvu.PrintArea" localSheetId="0" hidden="1">'i) F1.2 Mitigation 18.43% Rev'!#REF!</definedName>
    <definedName name="Z_03CBBAD3_5E1E_11D4_B95C_000629B12FF7_.wvu.PrintArea" localSheetId="1" hidden="1">'ii)G1.2 No Mitigatation 18.43%'!#REF!</definedName>
    <definedName name="Z_03CBBAD3_5E1E_11D4_B95C_000629B12FF7_.wvu.PrintArea" localSheetId="2" hidden="1">'iii) Schedule F 1.2 Filed'!#REF!</definedName>
    <definedName name="Z_03CBBAD3_5E1E_11D4_B95C_000629B12FF7_.wvu.PrintArea" localSheetId="3" hidden="1">'iv) Schedule G1.2 Filed'!#REF!</definedName>
    <definedName name="Z_03CBBAD5_5E1E_11D4_B95C_000629B12FF7_.wvu.PrintArea" localSheetId="0" hidden="1">'i) F1.2 Mitigation 18.43% Rev'!#REF!</definedName>
    <definedName name="Z_03CBBAD5_5E1E_11D4_B95C_000629B12FF7_.wvu.PrintArea" localSheetId="1" hidden="1">'ii)G1.2 No Mitigatation 18.43%'!#REF!</definedName>
    <definedName name="Z_03CBBAD5_5E1E_11D4_B95C_000629B12FF7_.wvu.PrintArea" localSheetId="2" hidden="1">'iii) Schedule F 1.2 Filed'!#REF!</definedName>
    <definedName name="Z_03CBBAD5_5E1E_11D4_B95C_000629B12FF7_.wvu.PrintArea" localSheetId="3" hidden="1">'iv) Schedule G1.2 Filed'!#REF!</definedName>
    <definedName name="Z_03CBBAD9_5E1E_11D4_B95C_000629B12FF7_.wvu.PrintArea" localSheetId="0" hidden="1">'i) F1.2 Mitigation 18.43% Rev'!#REF!</definedName>
    <definedName name="Z_03CBBAD9_5E1E_11D4_B95C_000629B12FF7_.wvu.PrintArea" localSheetId="1" hidden="1">'ii)G1.2 No Mitigatation 18.43%'!#REF!</definedName>
    <definedName name="Z_03CBBAD9_5E1E_11D4_B95C_000629B12FF7_.wvu.PrintArea" localSheetId="2" hidden="1">'iii) Schedule F 1.2 Filed'!#REF!</definedName>
    <definedName name="Z_03CBBAD9_5E1E_11D4_B95C_000629B12FF7_.wvu.PrintArea" localSheetId="3" hidden="1">'iv) Schedule G1.2 Filed'!#REF!</definedName>
    <definedName name="Z_03CBBAE0_5E1E_11D4_B95C_000629B12FF7_.wvu.PrintArea" localSheetId="0" hidden="1">'i) F1.2 Mitigation 18.43% Rev'!#REF!</definedName>
    <definedName name="Z_03CBBAE0_5E1E_11D4_B95C_000629B12FF7_.wvu.PrintArea" localSheetId="1" hidden="1">'ii)G1.2 No Mitigatation 18.43%'!#REF!</definedName>
    <definedName name="Z_03CBBAE0_5E1E_11D4_B95C_000629B12FF7_.wvu.PrintArea" localSheetId="2" hidden="1">'iii) Schedule F 1.2 Filed'!#REF!</definedName>
    <definedName name="Z_03CBBAE0_5E1E_11D4_B95C_000629B12FF7_.wvu.PrintArea" localSheetId="3" hidden="1">'iv) Schedule G1.2 Filed'!#REF!</definedName>
    <definedName name="Z_03CBBAE1_5E1E_11D4_B95C_000629B12FF7_.wvu.PrintArea" localSheetId="0" hidden="1">'i) F1.2 Mitigation 18.43% Rev'!#REF!</definedName>
    <definedName name="Z_03CBBAE1_5E1E_11D4_B95C_000629B12FF7_.wvu.PrintArea" localSheetId="1" hidden="1">'ii)G1.2 No Mitigatation 18.43%'!#REF!</definedName>
    <definedName name="Z_03CBBAE1_5E1E_11D4_B95C_000629B12FF7_.wvu.PrintArea" localSheetId="2" hidden="1">'iii) Schedule F 1.2 Filed'!#REF!</definedName>
    <definedName name="Z_03CBBAE1_5E1E_11D4_B95C_000629B12FF7_.wvu.PrintArea" localSheetId="3" hidden="1">'iv) Schedule G1.2 Filed'!#REF!</definedName>
    <definedName name="Z_03CBBAE2_5E1E_11D4_B95C_000629B12FF7_.wvu.PrintArea" localSheetId="0" hidden="1">'i) F1.2 Mitigation 18.43% Rev'!#REF!</definedName>
    <definedName name="Z_03CBBAE2_5E1E_11D4_B95C_000629B12FF7_.wvu.PrintArea" localSheetId="1" hidden="1">'ii)G1.2 No Mitigatation 18.43%'!#REF!</definedName>
    <definedName name="Z_03CBBAE2_5E1E_11D4_B95C_000629B12FF7_.wvu.PrintArea" localSheetId="2" hidden="1">'iii) Schedule F 1.2 Filed'!#REF!</definedName>
    <definedName name="Z_03CBBAE2_5E1E_11D4_B95C_000629B12FF7_.wvu.PrintArea" localSheetId="3" hidden="1">'iv) Schedule G1.2 Filed'!#REF!</definedName>
    <definedName name="Z_03CBBAE3_5E1E_11D4_B95C_000629B12FF7_.wvu.PrintArea" localSheetId="0" hidden="1">'i) F1.2 Mitigation 18.43% Rev'!#REF!</definedName>
    <definedName name="Z_03CBBAE3_5E1E_11D4_B95C_000629B12FF7_.wvu.PrintArea" localSheetId="1" hidden="1">'ii)G1.2 No Mitigatation 18.43%'!#REF!</definedName>
    <definedName name="Z_03CBBAE3_5E1E_11D4_B95C_000629B12FF7_.wvu.PrintArea" localSheetId="2" hidden="1">'iii) Schedule F 1.2 Filed'!#REF!</definedName>
    <definedName name="Z_03CBBAE3_5E1E_11D4_B95C_000629B12FF7_.wvu.PrintArea" localSheetId="3" hidden="1">'iv) Schedule G1.2 Filed'!#REF!</definedName>
    <definedName name="Z_03CBBAE4_5E1E_11D4_B95C_000629B12FF7_.wvu.PrintArea" localSheetId="0" hidden="1">'i) F1.2 Mitigation 18.43% Rev'!#REF!</definedName>
    <definedName name="Z_03CBBAE4_5E1E_11D4_B95C_000629B12FF7_.wvu.PrintArea" localSheetId="1" hidden="1">'ii)G1.2 No Mitigatation 18.43%'!#REF!</definedName>
    <definedName name="Z_03CBBAE4_5E1E_11D4_B95C_000629B12FF7_.wvu.PrintArea" localSheetId="2" hidden="1">'iii) Schedule F 1.2 Filed'!#REF!</definedName>
    <definedName name="Z_03CBBAE4_5E1E_11D4_B95C_000629B12FF7_.wvu.PrintArea" localSheetId="3" hidden="1">'iv) Schedule G1.2 Filed'!#REF!</definedName>
    <definedName name="Z_03CBBAE5_5E1E_11D4_B95C_000629B12FF7_.wvu.PrintArea" localSheetId="0" hidden="1">'i) F1.2 Mitigation 18.43% Rev'!#REF!</definedName>
    <definedName name="Z_03CBBAE5_5E1E_11D4_B95C_000629B12FF7_.wvu.PrintArea" localSheetId="1" hidden="1">'ii)G1.2 No Mitigatation 18.43%'!#REF!</definedName>
    <definedName name="Z_03CBBAE5_5E1E_11D4_B95C_000629B12FF7_.wvu.PrintArea" localSheetId="2" hidden="1">'iii) Schedule F 1.2 Filed'!#REF!</definedName>
    <definedName name="Z_03CBBAE5_5E1E_11D4_B95C_000629B12FF7_.wvu.PrintArea" localSheetId="3" hidden="1">'iv) Schedule G1.2 Filed'!#REF!</definedName>
    <definedName name="Z_03CBBAE6_5E1E_11D4_B95C_000629B12FF7_.wvu.PrintArea" localSheetId="0" hidden="1">'i) F1.2 Mitigation 18.43% Rev'!#REF!</definedName>
    <definedName name="Z_03CBBAE6_5E1E_11D4_B95C_000629B12FF7_.wvu.PrintArea" localSheetId="1" hidden="1">'ii)G1.2 No Mitigatation 18.43%'!#REF!</definedName>
    <definedName name="Z_03CBBAE6_5E1E_11D4_B95C_000629B12FF7_.wvu.PrintArea" localSheetId="2" hidden="1">'iii) Schedule F 1.2 Filed'!#REF!</definedName>
    <definedName name="Z_03CBBAE6_5E1E_11D4_B95C_000629B12FF7_.wvu.PrintArea" localSheetId="3" hidden="1">'iv) Schedule G1.2 Filed'!#REF!</definedName>
    <definedName name="Z_03CBBAE7_5E1E_11D4_B95C_000629B12FF7_.wvu.PrintArea" localSheetId="0" hidden="1">'i) F1.2 Mitigation 18.43% Rev'!#REF!</definedName>
    <definedName name="Z_03CBBAE7_5E1E_11D4_B95C_000629B12FF7_.wvu.PrintArea" localSheetId="1" hidden="1">'ii)G1.2 No Mitigatation 18.43%'!#REF!</definedName>
    <definedName name="Z_03CBBAE7_5E1E_11D4_B95C_000629B12FF7_.wvu.PrintArea" localSheetId="2" hidden="1">'iii) Schedule F 1.2 Filed'!#REF!</definedName>
    <definedName name="Z_03CBBAE7_5E1E_11D4_B95C_000629B12FF7_.wvu.PrintArea" localSheetId="3" hidden="1">'iv) Schedule G1.2 Filed'!#REF!</definedName>
    <definedName name="Z_03CBBAEF_5E1E_11D4_B95C_000629B12FF7_.wvu.PrintArea" localSheetId="0" hidden="1">'i) F1.2 Mitigation 18.43% Rev'!#REF!</definedName>
    <definedName name="Z_03CBBAEF_5E1E_11D4_B95C_000629B12FF7_.wvu.PrintArea" localSheetId="1" hidden="1">'ii)G1.2 No Mitigatation 18.43%'!#REF!</definedName>
    <definedName name="Z_03CBBAEF_5E1E_11D4_B95C_000629B12FF7_.wvu.PrintArea" localSheetId="2" hidden="1">'iii) Schedule F 1.2 Filed'!#REF!</definedName>
    <definedName name="Z_03CBBAEF_5E1E_11D4_B95C_000629B12FF7_.wvu.PrintArea" localSheetId="3" hidden="1">'iv) Schedule G1.2 Filed'!#REF!</definedName>
    <definedName name="Z_03CBBAEF_5E1E_11D4_B95C_000629B12FF7_.wvu.Rows" localSheetId="0" hidden="1">#REF!</definedName>
    <definedName name="Z_03CBBAEF_5E1E_11D4_B95C_000629B12FF7_.wvu.Rows" localSheetId="2" hidden="1">#REF!</definedName>
    <definedName name="Z_03CBBAEF_5E1E_11D4_B95C_000629B12FF7_.wvu.Rows" localSheetId="3" hidden="1">#REF!</definedName>
    <definedName name="Z_03CBBAEF_5E1E_11D4_B95C_000629B12FF7_.wvu.Rows" hidden="1">#REF!</definedName>
    <definedName name="Z_03CBBAF0_5E1E_11D4_B95C_000629B12FF7_.wvu.PrintArea" localSheetId="0" hidden="1">'i) F1.2 Mitigation 18.43% Rev'!#REF!</definedName>
    <definedName name="Z_03CBBAF0_5E1E_11D4_B95C_000629B12FF7_.wvu.PrintArea" localSheetId="1" hidden="1">'ii)G1.2 No Mitigatation 18.43%'!#REF!</definedName>
    <definedName name="Z_03CBBAF0_5E1E_11D4_B95C_000629B12FF7_.wvu.PrintArea" localSheetId="2" hidden="1">'iii) Schedule F 1.2 Filed'!#REF!</definedName>
    <definedName name="Z_03CBBAF0_5E1E_11D4_B95C_000629B12FF7_.wvu.PrintArea" localSheetId="3" hidden="1">'iv) Schedule G1.2 Filed'!#REF!</definedName>
    <definedName name="Z_03CBBAF1_5E1E_11D4_B95C_000629B12FF7_.wvu.PrintArea" localSheetId="0" hidden="1">'i) F1.2 Mitigation 18.43% Rev'!#REF!</definedName>
    <definedName name="Z_03CBBAF1_5E1E_11D4_B95C_000629B12FF7_.wvu.PrintArea" localSheetId="1" hidden="1">'ii)G1.2 No Mitigatation 18.43%'!#REF!</definedName>
    <definedName name="Z_03CBBAF1_5E1E_11D4_B95C_000629B12FF7_.wvu.PrintArea" localSheetId="2" hidden="1">'iii) Schedule F 1.2 Filed'!#REF!</definedName>
    <definedName name="Z_03CBBAF1_5E1E_11D4_B95C_000629B12FF7_.wvu.PrintArea" localSheetId="3" hidden="1">'iv) Schedule G1.2 Filed'!#REF!</definedName>
    <definedName name="Z_03CBBAF3_5E1E_11D4_B95C_000629B12FF7_.wvu.PrintArea" localSheetId="0" hidden="1">'i) F1.2 Mitigation 18.43% Rev'!#REF!</definedName>
    <definedName name="Z_03CBBAF3_5E1E_11D4_B95C_000629B12FF7_.wvu.PrintArea" localSheetId="1" hidden="1">'ii)G1.2 No Mitigatation 18.43%'!#REF!</definedName>
    <definedName name="Z_03CBBAF3_5E1E_11D4_B95C_000629B12FF7_.wvu.PrintArea" localSheetId="2" hidden="1">'iii) Schedule F 1.2 Filed'!#REF!</definedName>
    <definedName name="Z_03CBBAF3_5E1E_11D4_B95C_000629B12FF7_.wvu.PrintArea" localSheetId="3" hidden="1">'iv) Schedule G1.2 Filed'!#REF!</definedName>
    <definedName name="Z_03CBBAF3_5E1E_11D4_B95C_000629B12FF7_.wvu.Rows" localSheetId="0" hidden="1">#REF!</definedName>
    <definedName name="Z_03CBBAF3_5E1E_11D4_B95C_000629B12FF7_.wvu.Rows" localSheetId="2" hidden="1">#REF!</definedName>
    <definedName name="Z_03CBBAF3_5E1E_11D4_B95C_000629B12FF7_.wvu.Rows" localSheetId="3" hidden="1">#REF!</definedName>
    <definedName name="Z_03CBBAF3_5E1E_11D4_B95C_000629B12FF7_.wvu.Rows" hidden="1">#REF!</definedName>
    <definedName name="Z_03CBBAF4_5E1E_11D4_B95C_000629B12FF7_.wvu.PrintArea" localSheetId="0" hidden="1">'i) F1.2 Mitigation 18.43% Rev'!#REF!</definedName>
    <definedName name="Z_03CBBAF4_5E1E_11D4_B95C_000629B12FF7_.wvu.PrintArea" localSheetId="1" hidden="1">'ii)G1.2 No Mitigatation 18.43%'!#REF!</definedName>
    <definedName name="Z_03CBBAF4_5E1E_11D4_B95C_000629B12FF7_.wvu.PrintArea" localSheetId="2" hidden="1">'iii) Schedule F 1.2 Filed'!#REF!</definedName>
    <definedName name="Z_03CBBAF4_5E1E_11D4_B95C_000629B12FF7_.wvu.PrintArea" localSheetId="3" hidden="1">'iv) Schedule G1.2 Filed'!#REF!</definedName>
    <definedName name="Z_03CBBAF5_5E1E_11D4_B95C_000629B12FF7_.wvu.PrintArea" localSheetId="0" hidden="1">'i) F1.2 Mitigation 18.43% Rev'!#REF!</definedName>
    <definedName name="Z_03CBBAF5_5E1E_11D4_B95C_000629B12FF7_.wvu.PrintArea" localSheetId="1" hidden="1">'ii)G1.2 No Mitigatation 18.43%'!#REF!</definedName>
    <definedName name="Z_03CBBAF5_5E1E_11D4_B95C_000629B12FF7_.wvu.PrintArea" localSheetId="2" hidden="1">'iii) Schedule F 1.2 Filed'!#REF!</definedName>
    <definedName name="Z_03CBBAF5_5E1E_11D4_B95C_000629B12FF7_.wvu.PrintArea" localSheetId="3" hidden="1">'iv) Schedule G1.2 Filed'!#REF!</definedName>
    <definedName name="Z_03CBBAF5_5E1E_11D4_B95C_000629B12FF7_.wvu.Rows" localSheetId="0" hidden="1">#REF!</definedName>
    <definedName name="Z_03CBBAF5_5E1E_11D4_B95C_000629B12FF7_.wvu.Rows" localSheetId="2" hidden="1">#REF!</definedName>
    <definedName name="Z_03CBBAF5_5E1E_11D4_B95C_000629B12FF7_.wvu.Rows" localSheetId="3" hidden="1">#REF!</definedName>
    <definedName name="Z_03CBBAF5_5E1E_11D4_B95C_000629B12FF7_.wvu.Rows" hidden="1">#REF!</definedName>
    <definedName name="Z_03CBBAF7_5E1E_11D4_B95C_000629B12FF7_.wvu.PrintArea" localSheetId="0" hidden="1">'i) F1.2 Mitigation 18.43% Rev'!#REF!</definedName>
    <definedName name="Z_03CBBAF7_5E1E_11D4_B95C_000629B12FF7_.wvu.PrintArea" localSheetId="1" hidden="1">'ii)G1.2 No Mitigatation 18.43%'!#REF!</definedName>
    <definedName name="Z_03CBBAF7_5E1E_11D4_B95C_000629B12FF7_.wvu.PrintArea" localSheetId="2" hidden="1">'iii) Schedule F 1.2 Filed'!#REF!</definedName>
    <definedName name="Z_03CBBAF7_5E1E_11D4_B95C_000629B12FF7_.wvu.PrintArea" localSheetId="3" hidden="1">'iv) Schedule G1.2 Filed'!#REF!</definedName>
    <definedName name="Z_03CBBAF8_5E1E_11D4_B95C_000629B12FF7_.wvu.PrintArea" localSheetId="0" hidden="1">'i) F1.2 Mitigation 18.43% Rev'!#REF!</definedName>
    <definedName name="Z_03CBBAF8_5E1E_11D4_B95C_000629B12FF7_.wvu.PrintArea" localSheetId="1" hidden="1">'ii)G1.2 No Mitigatation 18.43%'!#REF!</definedName>
    <definedName name="Z_03CBBAF8_5E1E_11D4_B95C_000629B12FF7_.wvu.PrintArea" localSheetId="2" hidden="1">'iii) Schedule F 1.2 Filed'!#REF!</definedName>
    <definedName name="Z_03CBBAF8_5E1E_11D4_B95C_000629B12FF7_.wvu.PrintArea" localSheetId="3" hidden="1">'iv) Schedule G1.2 Filed'!#REF!</definedName>
    <definedName name="Z_03CBBAF9_5E1E_11D4_B95C_000629B12FF7_.wvu.PrintArea" localSheetId="0" hidden="1">'i) F1.2 Mitigation 18.43% Rev'!#REF!</definedName>
    <definedName name="Z_03CBBAF9_5E1E_11D4_B95C_000629B12FF7_.wvu.PrintArea" localSheetId="1" hidden="1">'ii)G1.2 No Mitigatation 18.43%'!#REF!</definedName>
    <definedName name="Z_03CBBAF9_5E1E_11D4_B95C_000629B12FF7_.wvu.PrintArea" localSheetId="2" hidden="1">'iii) Schedule F 1.2 Filed'!#REF!</definedName>
    <definedName name="Z_03CBBAF9_5E1E_11D4_B95C_000629B12FF7_.wvu.PrintArea" localSheetId="3" hidden="1">'iv) Schedule G1.2 Filed'!#REF!</definedName>
    <definedName name="Z_03CBBAFC_5E1E_11D4_B95C_000629B12FF7_.wvu.PrintArea" localSheetId="0" hidden="1">'i) F1.2 Mitigation 18.43% Rev'!#REF!</definedName>
    <definedName name="Z_03CBBAFC_5E1E_11D4_B95C_000629B12FF7_.wvu.PrintArea" localSheetId="1" hidden="1">'ii)G1.2 No Mitigatation 18.43%'!#REF!</definedName>
    <definedName name="Z_03CBBAFC_5E1E_11D4_B95C_000629B12FF7_.wvu.PrintArea" localSheetId="2" hidden="1">'iii) Schedule F 1.2 Filed'!#REF!</definedName>
    <definedName name="Z_03CBBAFC_5E1E_11D4_B95C_000629B12FF7_.wvu.PrintArea" localSheetId="3" hidden="1">'iv) Schedule G1.2 Filed'!#REF!</definedName>
    <definedName name="Z_03CBBAFD_5E1E_11D4_B95C_000629B12FF7_.wvu.PrintArea" localSheetId="0" hidden="1">'i) F1.2 Mitigation 18.43% Rev'!#REF!</definedName>
    <definedName name="Z_03CBBAFD_5E1E_11D4_B95C_000629B12FF7_.wvu.PrintArea" localSheetId="1" hidden="1">'ii)G1.2 No Mitigatation 18.43%'!#REF!</definedName>
    <definedName name="Z_03CBBAFD_5E1E_11D4_B95C_000629B12FF7_.wvu.PrintArea" localSheetId="2" hidden="1">'iii) Schedule F 1.2 Filed'!#REF!</definedName>
    <definedName name="Z_03CBBAFD_5E1E_11D4_B95C_000629B12FF7_.wvu.PrintArea" localSheetId="3" hidden="1">'iv) Schedule G1.2 Filed'!#REF!</definedName>
    <definedName name="Z_03CBBB00_5E1E_11D4_B95C_000629B12FF7_.wvu.PrintArea" localSheetId="0" hidden="1">'i) F1.2 Mitigation 18.43% Rev'!#REF!</definedName>
    <definedName name="Z_03CBBB00_5E1E_11D4_B95C_000629B12FF7_.wvu.PrintArea" localSheetId="1" hidden="1">'ii)G1.2 No Mitigatation 18.43%'!#REF!</definedName>
    <definedName name="Z_03CBBB00_5E1E_11D4_B95C_000629B12FF7_.wvu.PrintArea" localSheetId="2" hidden="1">'iii) Schedule F 1.2 Filed'!#REF!</definedName>
    <definedName name="Z_03CBBB00_5E1E_11D4_B95C_000629B12FF7_.wvu.PrintArea" localSheetId="3" hidden="1">'iv) Schedule G1.2 Filed'!#REF!</definedName>
    <definedName name="Z_3C400EC2_ACB7_11D3_9DF6_400000008383_.wvu.Rows" localSheetId="0" hidden="1">#REF!,#REF!</definedName>
    <definedName name="Z_3C400EC2_ACB7_11D3_9DF6_400000008383_.wvu.Rows" localSheetId="2" hidden="1">#REF!,#REF!</definedName>
    <definedName name="Z_3C400EC2_ACB7_11D3_9DF6_400000008383_.wvu.Rows" hidden="1">#REF!,#REF!</definedName>
    <definedName name="Z_611827CC_4DD6_11D4_B95C_000629B12FF7_.wvu.PrintArea" localSheetId="0" hidden="1">'i) F1.2 Mitigation 18.43% Rev'!#REF!</definedName>
    <definedName name="Z_611827CC_4DD6_11D4_B95C_000629B12FF7_.wvu.PrintArea" localSheetId="1" hidden="1">'ii)G1.2 No Mitigatation 18.43%'!#REF!</definedName>
    <definedName name="Z_611827CC_4DD6_11D4_B95C_000629B12FF7_.wvu.PrintArea" localSheetId="2" hidden="1">'iii) Schedule F 1.2 Filed'!#REF!</definedName>
    <definedName name="Z_611827CC_4DD6_11D4_B95C_000629B12FF7_.wvu.PrintArea" localSheetId="3" hidden="1">'iv) Schedule G1.2 Filed'!#REF!</definedName>
    <definedName name="Z_71AE21CD_5E32_11D4_B95C_000629B12FF7_.wvu.PrintArea" localSheetId="0" hidden="1">'i) F1.2 Mitigation 18.43% Rev'!#REF!</definedName>
    <definedName name="Z_71AE21CD_5E32_11D4_B95C_000629B12FF7_.wvu.PrintArea" localSheetId="1" hidden="1">'ii)G1.2 No Mitigatation 18.43%'!#REF!</definedName>
    <definedName name="Z_71AE21CD_5E32_11D4_B95C_000629B12FF7_.wvu.PrintArea" localSheetId="2" hidden="1">'iii) Schedule F 1.2 Filed'!#REF!</definedName>
    <definedName name="Z_71AE21CD_5E32_11D4_B95C_000629B12FF7_.wvu.PrintArea" localSheetId="3" hidden="1">'iv) Schedule G1.2 Filed'!#REF!</definedName>
    <definedName name="Z_7DAC24BB_5E38_11D4_B95C_000629B12FF7_.wvu.PrintArea" localSheetId="0" hidden="1">'i) F1.2 Mitigation 18.43% Rev'!#REF!</definedName>
    <definedName name="Z_7DAC24BB_5E38_11D4_B95C_000629B12FF7_.wvu.PrintArea" localSheetId="1" hidden="1">'ii)G1.2 No Mitigatation 18.43%'!#REF!</definedName>
    <definedName name="Z_7DAC24BB_5E38_11D4_B95C_000629B12FF7_.wvu.PrintArea" localSheetId="2" hidden="1">'iii) Schedule F 1.2 Filed'!#REF!</definedName>
    <definedName name="Z_7DAC24BB_5E38_11D4_B95C_000629B12FF7_.wvu.PrintArea" localSheetId="3" hidden="1">'iv) Schedule G1.2 Filed'!#REF!</definedName>
    <definedName name="Z_7DAC24BC_5E38_11D4_B95C_000629B12FF7_.wvu.Cols" localSheetId="0" hidden="1">#REF!,#REF!,#REF!,#REF!</definedName>
    <definedName name="Z_7DAC24BC_5E38_11D4_B95C_000629B12FF7_.wvu.Cols" localSheetId="2" hidden="1">#REF!,#REF!,#REF!,#REF!</definedName>
    <definedName name="Z_7DAC24BC_5E38_11D4_B95C_000629B12FF7_.wvu.Cols" localSheetId="3" hidden="1">#REF!,#REF!,#REF!,#REF!</definedName>
    <definedName name="Z_7DAC24BC_5E38_11D4_B95C_000629B12FF7_.wvu.Cols" hidden="1">#REF!,#REF!,#REF!,#REF!</definedName>
    <definedName name="Z_7DAC24BC_5E38_11D4_B95C_000629B12FF7_.wvu.PrintArea" localSheetId="0" hidden="1">'i) F1.2 Mitigation 18.43% Rev'!#REF!</definedName>
    <definedName name="Z_7DAC24BC_5E38_11D4_B95C_000629B12FF7_.wvu.PrintArea" localSheetId="1" hidden="1">'ii)G1.2 No Mitigatation 18.43%'!#REF!</definedName>
    <definedName name="Z_7DAC24BC_5E38_11D4_B95C_000629B12FF7_.wvu.PrintArea" localSheetId="2" hidden="1">'iii) Schedule F 1.2 Filed'!#REF!</definedName>
    <definedName name="Z_7DAC24BC_5E38_11D4_B95C_000629B12FF7_.wvu.PrintArea" localSheetId="3" hidden="1">'iv) Schedule G1.2 Filed'!#REF!</definedName>
    <definedName name="Z_7DAC24BD_5E38_11D4_B95C_000629B12FF7_.wvu.Cols" localSheetId="0" hidden="1">#REF!,#REF!,#REF!,#REF!</definedName>
    <definedName name="Z_7DAC24BD_5E38_11D4_B95C_000629B12FF7_.wvu.Cols" localSheetId="2" hidden="1">#REF!,#REF!,#REF!,#REF!</definedName>
    <definedName name="Z_7DAC24BD_5E38_11D4_B95C_000629B12FF7_.wvu.Cols" localSheetId="3" hidden="1">#REF!,#REF!,#REF!,#REF!</definedName>
    <definedName name="Z_7DAC24BD_5E38_11D4_B95C_000629B12FF7_.wvu.Cols" hidden="1">#REF!,#REF!,#REF!,#REF!</definedName>
    <definedName name="Z_7DAC24BD_5E38_11D4_B95C_000629B12FF7_.wvu.PrintArea" localSheetId="0" hidden="1">'i) F1.2 Mitigation 18.43% Rev'!$A$173:$I$203</definedName>
    <definedName name="Z_7DAC24BD_5E38_11D4_B95C_000629B12FF7_.wvu.PrintArea" localSheetId="1" hidden="1">'ii)G1.2 No Mitigatation 18.43%'!$A$173:$I$203</definedName>
    <definedName name="Z_7DAC24BD_5E38_11D4_B95C_000629B12FF7_.wvu.PrintArea" localSheetId="2" hidden="1">'iii) Schedule F 1.2 Filed'!$A$173:$I$203</definedName>
    <definedName name="Z_7DAC24BD_5E38_11D4_B95C_000629B12FF7_.wvu.PrintArea" localSheetId="3" hidden="1">'iv) Schedule G1.2 Filed'!$A$173:$I$203</definedName>
    <definedName name="Z_7DAC24BD_5E38_11D4_B95C_000629B12FF7_.wvu.Rows" localSheetId="0" hidden="1">'i) F1.2 Mitigation 18.43% Rev'!$188:$189</definedName>
    <definedName name="Z_7DAC24BD_5E38_11D4_B95C_000629B12FF7_.wvu.Rows" localSheetId="2" hidden="1">'iii) Schedule F 1.2 Filed'!$188:$189</definedName>
    <definedName name="Z_7DAC24BD_5E38_11D4_B95C_000629B12FF7_.wvu.Rows" localSheetId="3" hidden="1">'iv) Schedule G1.2 Filed'!$188:$189</definedName>
    <definedName name="Z_7DAC24BD_5E38_11D4_B95C_000629B12FF7_.wvu.Rows" hidden="1">'ii)G1.2 No Mitigatation 18.43%'!$188:$189</definedName>
    <definedName name="Z_7DAC24D3_5E38_11D4_B95C_000629B12FF7_.wvu.PrintArea" localSheetId="0" hidden="1">'i) F1.2 Mitigation 18.43% Rev'!#REF!</definedName>
    <definedName name="Z_7DAC24D3_5E38_11D4_B95C_000629B12FF7_.wvu.PrintArea" localSheetId="1" hidden="1">'ii)G1.2 No Mitigatation 18.43%'!#REF!</definedName>
    <definedName name="Z_7DAC24D3_5E38_11D4_B95C_000629B12FF7_.wvu.PrintArea" localSheetId="2" hidden="1">'iii) Schedule F 1.2 Filed'!#REF!</definedName>
    <definedName name="Z_7DAC24D3_5E38_11D4_B95C_000629B12FF7_.wvu.PrintArea" localSheetId="3" hidden="1">'iv) Schedule G1.2 Filed'!#REF!</definedName>
    <definedName name="Z_7DAC24D6_5E38_11D4_B95C_000629B12FF7_.wvu.PrintArea" localSheetId="0" hidden="1">'i) F1.2 Mitigation 18.43% Rev'!#REF!</definedName>
    <definedName name="Z_7DAC24D6_5E38_11D4_B95C_000629B12FF7_.wvu.PrintArea" localSheetId="1" hidden="1">'ii)G1.2 No Mitigatation 18.43%'!#REF!</definedName>
    <definedName name="Z_7DAC24D6_5E38_11D4_B95C_000629B12FF7_.wvu.PrintArea" localSheetId="2" hidden="1">'iii) Schedule F 1.2 Filed'!#REF!</definedName>
    <definedName name="Z_7DAC24D6_5E38_11D4_B95C_000629B12FF7_.wvu.PrintArea" localSheetId="3" hidden="1">'iv) Schedule G1.2 Filed'!#REF!</definedName>
    <definedName name="Z_7DAC24D7_5E38_11D4_B95C_000629B12FF7_.wvu.PrintArea" localSheetId="0" hidden="1">'i) F1.2 Mitigation 18.43% Rev'!#REF!</definedName>
    <definedName name="Z_7DAC24D7_5E38_11D4_B95C_000629B12FF7_.wvu.PrintArea" localSheetId="1" hidden="1">'ii)G1.2 No Mitigatation 18.43%'!#REF!</definedName>
    <definedName name="Z_7DAC24D7_5E38_11D4_B95C_000629B12FF7_.wvu.PrintArea" localSheetId="2" hidden="1">'iii) Schedule F 1.2 Filed'!#REF!</definedName>
    <definedName name="Z_7DAC24D7_5E38_11D4_B95C_000629B12FF7_.wvu.PrintArea" localSheetId="3" hidden="1">'iv) Schedule G1.2 Filed'!#REF!</definedName>
    <definedName name="Z_7DAC24D8_5E38_11D4_B95C_000629B12FF7_.wvu.PrintArea" localSheetId="0" hidden="1">'i) F1.2 Mitigation 18.43% Rev'!#REF!</definedName>
    <definedName name="Z_7DAC24D8_5E38_11D4_B95C_000629B12FF7_.wvu.PrintArea" localSheetId="1" hidden="1">'ii)G1.2 No Mitigatation 18.43%'!#REF!</definedName>
    <definedName name="Z_7DAC24D8_5E38_11D4_B95C_000629B12FF7_.wvu.PrintArea" localSheetId="2" hidden="1">'iii) Schedule F 1.2 Filed'!#REF!</definedName>
    <definedName name="Z_7DAC24D8_5E38_11D4_B95C_000629B12FF7_.wvu.PrintArea" localSheetId="3" hidden="1">'iv) Schedule G1.2 Filed'!#REF!</definedName>
    <definedName name="Z_7DAC24D9_5E38_11D4_B95C_000629B12FF7_.wvu.PrintArea" localSheetId="0" hidden="1">'i) F1.2 Mitigation 18.43% Rev'!#REF!</definedName>
    <definedName name="Z_7DAC24D9_5E38_11D4_B95C_000629B12FF7_.wvu.PrintArea" localSheetId="1" hidden="1">'ii)G1.2 No Mitigatation 18.43%'!#REF!</definedName>
    <definedName name="Z_7DAC24D9_5E38_11D4_B95C_000629B12FF7_.wvu.PrintArea" localSheetId="2" hidden="1">'iii) Schedule F 1.2 Filed'!#REF!</definedName>
    <definedName name="Z_7DAC24D9_5E38_11D4_B95C_000629B12FF7_.wvu.PrintArea" localSheetId="3" hidden="1">'iv) Schedule G1.2 Filed'!#REF!</definedName>
    <definedName name="Z_7DAC24DA_5E38_11D4_B95C_000629B12FF7_.wvu.PrintArea" localSheetId="0" hidden="1">'i) F1.2 Mitigation 18.43% Rev'!#REF!</definedName>
    <definedName name="Z_7DAC24DA_5E38_11D4_B95C_000629B12FF7_.wvu.PrintArea" localSheetId="1" hidden="1">'ii)G1.2 No Mitigatation 18.43%'!#REF!</definedName>
    <definedName name="Z_7DAC24DA_5E38_11D4_B95C_000629B12FF7_.wvu.PrintArea" localSheetId="2" hidden="1">'iii) Schedule F 1.2 Filed'!#REF!</definedName>
    <definedName name="Z_7DAC24DA_5E38_11D4_B95C_000629B12FF7_.wvu.PrintArea" localSheetId="3" hidden="1">'iv) Schedule G1.2 Filed'!#REF!</definedName>
    <definedName name="Z_7DAC24DB_5E38_11D4_B95C_000629B12FF7_.wvu.PrintArea" localSheetId="0" hidden="1">'i) F1.2 Mitigation 18.43% Rev'!#REF!</definedName>
    <definedName name="Z_7DAC24DB_5E38_11D4_B95C_000629B12FF7_.wvu.PrintArea" localSheetId="1" hidden="1">'ii)G1.2 No Mitigatation 18.43%'!#REF!</definedName>
    <definedName name="Z_7DAC24DB_5E38_11D4_B95C_000629B12FF7_.wvu.PrintArea" localSheetId="2" hidden="1">'iii) Schedule F 1.2 Filed'!#REF!</definedName>
    <definedName name="Z_7DAC24DB_5E38_11D4_B95C_000629B12FF7_.wvu.PrintArea" localSheetId="3" hidden="1">'iv) Schedule G1.2 Filed'!#REF!</definedName>
    <definedName name="Z_849B6680_4766_11D4_B95C_000629B12FF7_.wvu.PrintArea" localSheetId="0" hidden="1">'i) F1.2 Mitigation 18.43% Rev'!#REF!</definedName>
    <definedName name="Z_849B6680_4766_11D4_B95C_000629B12FF7_.wvu.PrintArea" localSheetId="1" hidden="1">'ii)G1.2 No Mitigatation 18.43%'!#REF!</definedName>
    <definedName name="Z_849B6680_4766_11D4_B95C_000629B12FF7_.wvu.PrintArea" localSheetId="2" hidden="1">'iii) Schedule F 1.2 Filed'!#REF!</definedName>
    <definedName name="Z_849B6680_4766_11D4_B95C_000629B12FF7_.wvu.PrintArea" localSheetId="3" hidden="1">'iv) Schedule G1.2 Filed'!#REF!</definedName>
    <definedName name="Z_849B6682_4766_11D4_B95C_000629B12FF7_.wvu.PrintArea" localSheetId="0" hidden="1">'i) F1.2 Mitigation 18.43% Rev'!#REF!</definedName>
    <definedName name="Z_849B6682_4766_11D4_B95C_000629B12FF7_.wvu.PrintArea" localSheetId="1" hidden="1">'ii)G1.2 No Mitigatation 18.43%'!#REF!</definedName>
    <definedName name="Z_849B6682_4766_11D4_B95C_000629B12FF7_.wvu.PrintArea" localSheetId="2" hidden="1">'iii) Schedule F 1.2 Filed'!#REF!</definedName>
    <definedName name="Z_849B6682_4766_11D4_B95C_000629B12FF7_.wvu.PrintArea" localSheetId="3" hidden="1">'iv) Schedule G1.2 Filed'!#REF!</definedName>
    <definedName name="Z_9825D850_4DC5_11D4_B95C_000629B12FF7_.wvu.PrintArea" localSheetId="0" hidden="1">'i) F1.2 Mitigation 18.43% Rev'!#REF!</definedName>
    <definedName name="Z_9825D850_4DC5_11D4_B95C_000629B12FF7_.wvu.PrintArea" localSheetId="1" hidden="1">'ii)G1.2 No Mitigatation 18.43%'!#REF!</definedName>
    <definedName name="Z_9825D850_4DC5_11D4_B95C_000629B12FF7_.wvu.PrintArea" localSheetId="2" hidden="1">'iii) Schedule F 1.2 Filed'!#REF!</definedName>
    <definedName name="Z_9825D850_4DC5_11D4_B95C_000629B12FF7_.wvu.PrintArea" localSheetId="3" hidden="1">'iv) Schedule G1.2 Filed'!#REF!</definedName>
    <definedName name="Z_9825D868_4DC5_11D4_B95C_000629B12FF7_.wvu.PrintArea" localSheetId="0" hidden="1">'i) F1.2 Mitigation 18.43% Rev'!#REF!</definedName>
    <definedName name="Z_9825D868_4DC5_11D4_B95C_000629B12FF7_.wvu.PrintArea" localSheetId="1" hidden="1">'ii)G1.2 No Mitigatation 18.43%'!#REF!</definedName>
    <definedName name="Z_9825D868_4DC5_11D4_B95C_000629B12FF7_.wvu.PrintArea" localSheetId="2" hidden="1">'iii) Schedule F 1.2 Filed'!#REF!</definedName>
    <definedName name="Z_9825D868_4DC5_11D4_B95C_000629B12FF7_.wvu.PrintArea" localSheetId="3" hidden="1">'iv) Schedule G1.2 Filed'!#REF!</definedName>
    <definedName name="Z_9F7039ED_5F0E_11D4_B95C_000629B12FF7_.wvu.PrintArea" localSheetId="0" hidden="1">'i) F1.2 Mitigation 18.43% Rev'!#REF!</definedName>
    <definedName name="Z_9F7039ED_5F0E_11D4_B95C_000629B12FF7_.wvu.PrintArea" localSheetId="1" hidden="1">'ii)G1.2 No Mitigatation 18.43%'!#REF!</definedName>
    <definedName name="Z_9F7039ED_5F0E_11D4_B95C_000629B12FF7_.wvu.PrintArea" localSheetId="2" hidden="1">'iii) Schedule F 1.2 Filed'!#REF!</definedName>
    <definedName name="Z_9F7039ED_5F0E_11D4_B95C_000629B12FF7_.wvu.PrintArea" localSheetId="3" hidden="1">'iv) Schedule G1.2 Filed'!#REF!</definedName>
    <definedName name="Z_9F7039EE_5F0E_11D4_B95C_000629B12FF7_.wvu.PrintArea" localSheetId="0" hidden="1">'i) F1.2 Mitigation 18.43% Rev'!#REF!</definedName>
    <definedName name="Z_9F7039EE_5F0E_11D4_B95C_000629B12FF7_.wvu.PrintArea" localSheetId="1" hidden="1">'ii)G1.2 No Mitigatation 18.43%'!#REF!</definedName>
    <definedName name="Z_9F7039EE_5F0E_11D4_B95C_000629B12FF7_.wvu.PrintArea" localSheetId="2" hidden="1">'iii) Schedule F 1.2 Filed'!#REF!</definedName>
    <definedName name="Z_9F7039EE_5F0E_11D4_B95C_000629B12FF7_.wvu.PrintArea" localSheetId="3" hidden="1">'iv) Schedule G1.2 Filed'!#REF!</definedName>
    <definedName name="Z_9F7039EF_5F0E_11D4_B95C_000629B12FF7_.wvu.PrintArea" localSheetId="0" hidden="1">'i) F1.2 Mitigation 18.43% Rev'!#REF!</definedName>
    <definedName name="Z_9F7039EF_5F0E_11D4_B95C_000629B12FF7_.wvu.PrintArea" localSheetId="1" hidden="1">'ii)G1.2 No Mitigatation 18.43%'!#REF!</definedName>
    <definedName name="Z_9F7039EF_5F0E_11D4_B95C_000629B12FF7_.wvu.PrintArea" localSheetId="2" hidden="1">'iii) Schedule F 1.2 Filed'!#REF!</definedName>
    <definedName name="Z_9F7039EF_5F0E_11D4_B95C_000629B12FF7_.wvu.PrintArea" localSheetId="3" hidden="1">'iv) Schedule G1.2 Filed'!#REF!</definedName>
    <definedName name="Z_9F7039F0_5F0E_11D4_B95C_000629B12FF7_.wvu.PrintArea" localSheetId="0" hidden="1">'i) F1.2 Mitigation 18.43% Rev'!#REF!</definedName>
    <definedName name="Z_9F7039F0_5F0E_11D4_B95C_000629B12FF7_.wvu.PrintArea" localSheetId="1" hidden="1">'ii)G1.2 No Mitigatation 18.43%'!#REF!</definedName>
    <definedName name="Z_9F7039F0_5F0E_11D4_B95C_000629B12FF7_.wvu.PrintArea" localSheetId="2" hidden="1">'iii) Schedule F 1.2 Filed'!#REF!</definedName>
    <definedName name="Z_9F7039F0_5F0E_11D4_B95C_000629B12FF7_.wvu.PrintArea" localSheetId="3" hidden="1">'iv) Schedule G1.2 Filed'!#REF!</definedName>
    <definedName name="Z_9F7039F0_5F0E_11D4_B95C_000629B12FF7_.wvu.Rows" localSheetId="0" hidden="1">#REF!,#REF!,#REF!,#REF!,#REF!</definedName>
    <definedName name="Z_9F7039F0_5F0E_11D4_B95C_000629B12FF7_.wvu.Rows" localSheetId="2" hidden="1">#REF!,#REF!,#REF!,#REF!,#REF!</definedName>
    <definedName name="Z_9F7039F0_5F0E_11D4_B95C_000629B12FF7_.wvu.Rows" localSheetId="3" hidden="1">#REF!,#REF!,#REF!,#REF!,#REF!</definedName>
    <definedName name="Z_9F7039F0_5F0E_11D4_B95C_000629B12FF7_.wvu.Rows" hidden="1">#REF!,#REF!,#REF!,#REF!,#REF!</definedName>
    <definedName name="Z_9F7039F1_5F0E_11D4_B95C_000629B12FF7_.wvu.PrintArea" localSheetId="0" hidden="1">'i) F1.2 Mitigation 18.43% Rev'!#REF!</definedName>
    <definedName name="Z_9F7039F1_5F0E_11D4_B95C_000629B12FF7_.wvu.PrintArea" localSheetId="1" hidden="1">'ii)G1.2 No Mitigatation 18.43%'!#REF!</definedName>
    <definedName name="Z_9F7039F1_5F0E_11D4_B95C_000629B12FF7_.wvu.PrintArea" localSheetId="2" hidden="1">'iii) Schedule F 1.2 Filed'!#REF!</definedName>
    <definedName name="Z_9F7039F1_5F0E_11D4_B95C_000629B12FF7_.wvu.PrintArea" localSheetId="3" hidden="1">'iv) Schedule G1.2 Filed'!#REF!</definedName>
    <definedName name="Z_9F7039F1_5F0E_11D4_B95C_000629B12FF7_.wvu.Rows" localSheetId="0" hidden="1">#REF!</definedName>
    <definedName name="Z_9F7039F1_5F0E_11D4_B95C_000629B12FF7_.wvu.Rows" localSheetId="2" hidden="1">#REF!</definedName>
    <definedName name="Z_9F7039F1_5F0E_11D4_B95C_000629B12FF7_.wvu.Rows" localSheetId="3" hidden="1">#REF!</definedName>
    <definedName name="Z_9F7039F1_5F0E_11D4_B95C_000629B12FF7_.wvu.Rows" hidden="1">#REF!</definedName>
    <definedName name="Z_9F7039F2_5F0E_11D4_B95C_000629B12FF7_.wvu.PrintArea" localSheetId="0" hidden="1">'i) F1.2 Mitigation 18.43% Rev'!#REF!</definedName>
    <definedName name="Z_9F7039F2_5F0E_11D4_B95C_000629B12FF7_.wvu.PrintArea" localSheetId="1" hidden="1">'ii)G1.2 No Mitigatation 18.43%'!#REF!</definedName>
    <definedName name="Z_9F7039F2_5F0E_11D4_B95C_000629B12FF7_.wvu.PrintArea" localSheetId="2" hidden="1">'iii) Schedule F 1.2 Filed'!#REF!</definedName>
    <definedName name="Z_9F7039F2_5F0E_11D4_B95C_000629B12FF7_.wvu.PrintArea" localSheetId="3" hidden="1">'iv) Schedule G1.2 Filed'!#REF!</definedName>
    <definedName name="Z_9F7039F3_5F0E_11D4_B95C_000629B12FF7_.wvu.PrintArea" localSheetId="0" hidden="1">'i) F1.2 Mitigation 18.43% Rev'!#REF!</definedName>
    <definedName name="Z_9F7039F3_5F0E_11D4_B95C_000629B12FF7_.wvu.PrintArea" localSheetId="1" hidden="1">'ii)G1.2 No Mitigatation 18.43%'!#REF!</definedName>
    <definedName name="Z_9F7039F3_5F0E_11D4_B95C_000629B12FF7_.wvu.PrintArea" localSheetId="2" hidden="1">'iii) Schedule F 1.2 Filed'!#REF!</definedName>
    <definedName name="Z_9F7039F3_5F0E_11D4_B95C_000629B12FF7_.wvu.PrintArea" localSheetId="3" hidden="1">'iv) Schedule G1.2 Filed'!#REF!</definedName>
    <definedName name="Z_B06747EE_5EE4_11D4_B95C_000629B12FF7_.wvu.PrintArea" localSheetId="0" hidden="1">'i) F1.2 Mitigation 18.43% Rev'!#REF!</definedName>
    <definedName name="Z_B06747EE_5EE4_11D4_B95C_000629B12FF7_.wvu.PrintArea" localSheetId="1" hidden="1">'ii)G1.2 No Mitigatation 18.43%'!#REF!</definedName>
    <definedName name="Z_B06747EE_5EE4_11D4_B95C_000629B12FF7_.wvu.PrintArea" localSheetId="2" hidden="1">'iii) Schedule F 1.2 Filed'!#REF!</definedName>
    <definedName name="Z_B06747EE_5EE4_11D4_B95C_000629B12FF7_.wvu.PrintArea" localSheetId="3" hidden="1">'iv) Schedule G1.2 Filed'!#REF!</definedName>
    <definedName name="Z_B06747EE_5EE4_11D4_B95C_000629B12FF7_.wvu.Rows" localSheetId="0" hidden="1">#REF!</definedName>
    <definedName name="Z_B06747EE_5EE4_11D4_B95C_000629B12FF7_.wvu.Rows" localSheetId="2" hidden="1">#REF!</definedName>
    <definedName name="Z_B06747EE_5EE4_11D4_B95C_000629B12FF7_.wvu.Rows" localSheetId="3" hidden="1">#REF!</definedName>
    <definedName name="Z_B06747EE_5EE4_11D4_B95C_000629B12FF7_.wvu.Rows" hidden="1">#REF!</definedName>
    <definedName name="Z_B067482F_5EE4_11D4_B95C_000629B12FF7_.wvu.PrintArea" localSheetId="0" hidden="1">'i) F1.2 Mitigation 18.43% Rev'!#REF!</definedName>
    <definedName name="Z_B067482F_5EE4_11D4_B95C_000629B12FF7_.wvu.PrintArea" localSheetId="1" hidden="1">'ii)G1.2 No Mitigatation 18.43%'!#REF!</definedName>
    <definedName name="Z_B067482F_5EE4_11D4_B95C_000629B12FF7_.wvu.PrintArea" localSheetId="2" hidden="1">'iii) Schedule F 1.2 Filed'!#REF!</definedName>
    <definedName name="Z_B067482F_5EE4_11D4_B95C_000629B12FF7_.wvu.PrintArea" localSheetId="3" hidden="1">'iv) Schedule G1.2 Filed'!#REF!</definedName>
    <definedName name="Z_B0674851_5EE4_11D4_B95C_000629B12FF7_.wvu.PrintArea" localSheetId="0" hidden="1">'i) F1.2 Mitigation 18.43% Rev'!#REF!</definedName>
    <definedName name="Z_B0674851_5EE4_11D4_B95C_000629B12FF7_.wvu.PrintArea" localSheetId="1" hidden="1">'ii)G1.2 No Mitigatation 18.43%'!#REF!</definedName>
    <definedName name="Z_B0674851_5EE4_11D4_B95C_000629B12FF7_.wvu.PrintArea" localSheetId="2" hidden="1">'iii) Schedule F 1.2 Filed'!#REF!</definedName>
    <definedName name="Z_B0674851_5EE4_11D4_B95C_000629B12FF7_.wvu.PrintArea" localSheetId="3" hidden="1">'iv) Schedule G1.2 Filed'!#REF!</definedName>
    <definedName name="Z_B0674852_5EE4_11D4_B95C_000629B12FF7_.wvu.PrintArea" localSheetId="0" hidden="1">'i) F1.2 Mitigation 18.43% Rev'!#REF!</definedName>
    <definedName name="Z_B0674852_5EE4_11D4_B95C_000629B12FF7_.wvu.PrintArea" localSheetId="1" hidden="1">'ii)G1.2 No Mitigatation 18.43%'!#REF!</definedName>
    <definedName name="Z_B0674852_5EE4_11D4_B95C_000629B12FF7_.wvu.PrintArea" localSheetId="2" hidden="1">'iii) Schedule F 1.2 Filed'!#REF!</definedName>
    <definedName name="Z_B0674852_5EE4_11D4_B95C_000629B12FF7_.wvu.PrintArea" localSheetId="3" hidden="1">'iv) Schedule G1.2 Filed'!#REF!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2" l="1"/>
  <c r="K29" i="2"/>
  <c r="K25" i="2"/>
  <c r="K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21" i="2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21" i="3"/>
  <c r="A299" i="5"/>
  <c r="A298" i="5"/>
  <c r="C313" i="5"/>
  <c r="I271" i="5"/>
  <c r="H271" i="5"/>
  <c r="D324" i="5"/>
  <c r="E269" i="5"/>
  <c r="C269" i="5"/>
  <c r="F271" i="5"/>
  <c r="B260" i="5"/>
  <c r="C260" i="5" s="1"/>
  <c r="A256" i="5"/>
  <c r="A255" i="5"/>
  <c r="D248" i="5"/>
  <c r="E244" i="5"/>
  <c r="C28" i="5"/>
  <c r="H28" i="5" s="1"/>
  <c r="E223" i="5"/>
  <c r="A228" i="5"/>
  <c r="C221" i="5"/>
  <c r="F220" i="5"/>
  <c r="H220" i="5"/>
  <c r="C223" i="5"/>
  <c r="C27" i="5" s="1"/>
  <c r="B212" i="5"/>
  <c r="C212" i="5" s="1"/>
  <c r="D212" i="5" s="1"/>
  <c r="E212" i="5" s="1"/>
  <c r="F212" i="5" s="1"/>
  <c r="A209" i="5"/>
  <c r="A208" i="5"/>
  <c r="I195" i="5"/>
  <c r="F195" i="5"/>
  <c r="H195" i="5" s="1"/>
  <c r="I194" i="5"/>
  <c r="F194" i="5"/>
  <c r="I193" i="5"/>
  <c r="F193" i="5"/>
  <c r="H193" i="5" s="1"/>
  <c r="A192" i="5"/>
  <c r="A194" i="5" s="1"/>
  <c r="I191" i="5"/>
  <c r="A191" i="5"/>
  <c r="A193" i="5" s="1"/>
  <c r="D182" i="5"/>
  <c r="E182" i="5" s="1"/>
  <c r="F182" i="5" s="1"/>
  <c r="C182" i="5"/>
  <c r="B182" i="5"/>
  <c r="A178" i="5"/>
  <c r="A177" i="5"/>
  <c r="D166" i="5"/>
  <c r="F164" i="5"/>
  <c r="I162" i="5"/>
  <c r="H162" i="5"/>
  <c r="F162" i="5"/>
  <c r="I161" i="5"/>
  <c r="F161" i="5"/>
  <c r="H161" i="5" s="1"/>
  <c r="A155" i="5"/>
  <c r="A154" i="5"/>
  <c r="A156" i="5" s="1"/>
  <c r="A157" i="5" s="1"/>
  <c r="C144" i="5"/>
  <c r="D144" i="5" s="1"/>
  <c r="E144" i="5" s="1"/>
  <c r="F144" i="5" s="1"/>
  <c r="B144" i="5"/>
  <c r="A140" i="5"/>
  <c r="A139" i="5"/>
  <c r="F125" i="5"/>
  <c r="I124" i="5"/>
  <c r="F124" i="5"/>
  <c r="H124" i="5" s="1"/>
  <c r="I123" i="5"/>
  <c r="F123" i="5"/>
  <c r="I122" i="5"/>
  <c r="F122" i="5"/>
  <c r="H122" i="5" s="1"/>
  <c r="I121" i="5"/>
  <c r="F121" i="5"/>
  <c r="F119" i="5"/>
  <c r="F117" i="5"/>
  <c r="A116" i="5"/>
  <c r="C106" i="5"/>
  <c r="D106" i="5" s="1"/>
  <c r="E106" i="5" s="1"/>
  <c r="F106" i="5" s="1"/>
  <c r="B106" i="5"/>
  <c r="A102" i="5"/>
  <c r="A101" i="5"/>
  <c r="I84" i="5"/>
  <c r="I83" i="5"/>
  <c r="I82" i="5"/>
  <c r="C26" i="5"/>
  <c r="I73" i="5"/>
  <c r="F73" i="5"/>
  <c r="D73" i="5"/>
  <c r="H72" i="5"/>
  <c r="H71" i="5"/>
  <c r="E71" i="5"/>
  <c r="C73" i="5"/>
  <c r="C25" i="5" s="1"/>
  <c r="G68" i="5"/>
  <c r="H67" i="5"/>
  <c r="G66" i="5"/>
  <c r="D57" i="5"/>
  <c r="E57" i="5" s="1"/>
  <c r="F57" i="5" s="1"/>
  <c r="B57" i="5"/>
  <c r="C57" i="5" s="1"/>
  <c r="A53" i="5"/>
  <c r="A52" i="5"/>
  <c r="AB44" i="5"/>
  <c r="AA44" i="5"/>
  <c r="P38" i="5"/>
  <c r="O38" i="5"/>
  <c r="G38" i="5"/>
  <c r="Z36" i="5"/>
  <c r="I36" i="5"/>
  <c r="AB36" i="5"/>
  <c r="E35" i="5"/>
  <c r="E34" i="5"/>
  <c r="E33" i="5"/>
  <c r="N28" i="5"/>
  <c r="Q28" i="5" s="1"/>
  <c r="D28" i="5"/>
  <c r="I28" i="5" s="1"/>
  <c r="E27" i="5"/>
  <c r="H26" i="5"/>
  <c r="F26" i="5"/>
  <c r="E26" i="5"/>
  <c r="D26" i="5"/>
  <c r="I26" i="5" s="1"/>
  <c r="D25" i="5"/>
  <c r="AA23" i="5"/>
  <c r="AC44" i="5" s="1"/>
  <c r="P23" i="5"/>
  <c r="P40" i="5" s="1"/>
  <c r="AC22" i="5"/>
  <c r="AB22" i="5"/>
  <c r="O23" i="5"/>
  <c r="O40" i="5" s="1"/>
  <c r="G22" i="5"/>
  <c r="F22" i="5"/>
  <c r="E22" i="5"/>
  <c r="D22" i="5"/>
  <c r="H22" i="5" s="1"/>
  <c r="C22" i="5"/>
  <c r="AB21" i="5"/>
  <c r="G21" i="5"/>
  <c r="G23" i="5" s="1"/>
  <c r="G40" i="5" s="1"/>
  <c r="AC20" i="5"/>
  <c r="AB20" i="5"/>
  <c r="AB19" i="5"/>
  <c r="AC19" i="5"/>
  <c r="Z23" i="5"/>
  <c r="Y11" i="5"/>
  <c r="O11" i="5"/>
  <c r="P11" i="5" s="1"/>
  <c r="Q11" i="5" s="1"/>
  <c r="N11" i="5"/>
  <c r="B11" i="5"/>
  <c r="C11" i="5" s="1"/>
  <c r="D11" i="5" s="1"/>
  <c r="E11" i="5" s="1"/>
  <c r="F11" i="5" s="1"/>
  <c r="X7" i="5"/>
  <c r="M7" i="5"/>
  <c r="A7" i="5"/>
  <c r="D320" i="4"/>
  <c r="A299" i="4"/>
  <c r="A298" i="4"/>
  <c r="C313" i="4"/>
  <c r="H271" i="4"/>
  <c r="I271" i="4"/>
  <c r="C269" i="4"/>
  <c r="F271" i="4"/>
  <c r="B260" i="4"/>
  <c r="C260" i="4" s="1"/>
  <c r="A256" i="4"/>
  <c r="A255" i="4"/>
  <c r="D248" i="4"/>
  <c r="E244" i="4"/>
  <c r="C28" i="4"/>
  <c r="H28" i="4" s="1"/>
  <c r="N28" i="4" s="1"/>
  <c r="Q28" i="4" s="1"/>
  <c r="E223" i="4"/>
  <c r="F221" i="4"/>
  <c r="H221" i="4" s="1"/>
  <c r="I221" i="4" s="1"/>
  <c r="C221" i="4"/>
  <c r="A228" i="4"/>
  <c r="F220" i="4"/>
  <c r="F223" i="4" s="1"/>
  <c r="C223" i="4"/>
  <c r="B212" i="4"/>
  <c r="C212" i="4" s="1"/>
  <c r="D212" i="4" s="1"/>
  <c r="E212" i="4" s="1"/>
  <c r="F212" i="4" s="1"/>
  <c r="A209" i="4"/>
  <c r="A208" i="4"/>
  <c r="F195" i="4"/>
  <c r="H195" i="4" s="1"/>
  <c r="I194" i="4"/>
  <c r="H194" i="4"/>
  <c r="F194" i="4"/>
  <c r="F193" i="4"/>
  <c r="H193" i="4" s="1"/>
  <c r="A192" i="4"/>
  <c r="A191" i="4"/>
  <c r="C182" i="4"/>
  <c r="D182" i="4" s="1"/>
  <c r="E182" i="4" s="1"/>
  <c r="F182" i="4" s="1"/>
  <c r="B182" i="4"/>
  <c r="A178" i="4"/>
  <c r="A177" i="4"/>
  <c r="F164" i="4"/>
  <c r="I163" i="4"/>
  <c r="F163" i="4"/>
  <c r="H163" i="4" s="1"/>
  <c r="I162" i="4"/>
  <c r="F162" i="4"/>
  <c r="I161" i="4"/>
  <c r="F161" i="4"/>
  <c r="H161" i="4" s="1"/>
  <c r="F159" i="4"/>
  <c r="H159" i="4" s="1"/>
  <c r="F157" i="4"/>
  <c r="H157" i="4" s="1"/>
  <c r="H155" i="4"/>
  <c r="D166" i="4"/>
  <c r="F155" i="4"/>
  <c r="A155" i="4"/>
  <c r="A154" i="4"/>
  <c r="I144" i="4"/>
  <c r="B144" i="4"/>
  <c r="C144" i="4" s="1"/>
  <c r="D144" i="4" s="1"/>
  <c r="E144" i="4" s="1"/>
  <c r="F144" i="4" s="1"/>
  <c r="G144" i="4" s="1"/>
  <c r="A140" i="4"/>
  <c r="A139" i="4"/>
  <c r="F126" i="4"/>
  <c r="F125" i="4"/>
  <c r="I124" i="4"/>
  <c r="F124" i="4"/>
  <c r="H124" i="4" s="1"/>
  <c r="I123" i="4"/>
  <c r="F123" i="4"/>
  <c r="I122" i="4"/>
  <c r="F122" i="4"/>
  <c r="H122" i="4" s="1"/>
  <c r="I121" i="4"/>
  <c r="F121" i="4"/>
  <c r="F120" i="4"/>
  <c r="H120" i="4" s="1"/>
  <c r="F118" i="4"/>
  <c r="H118" i="4" s="1"/>
  <c r="A117" i="4"/>
  <c r="F116" i="4"/>
  <c r="A116" i="4"/>
  <c r="C106" i="4"/>
  <c r="D106" i="4" s="1"/>
  <c r="E106" i="4" s="1"/>
  <c r="F106" i="4" s="1"/>
  <c r="B106" i="4"/>
  <c r="A102" i="4"/>
  <c r="A101" i="4"/>
  <c r="I83" i="4"/>
  <c r="I82" i="4"/>
  <c r="C26" i="4"/>
  <c r="F73" i="4"/>
  <c r="H72" i="4"/>
  <c r="H71" i="4"/>
  <c r="E71" i="4"/>
  <c r="D73" i="4"/>
  <c r="D25" i="4" s="1"/>
  <c r="C73" i="4"/>
  <c r="C25" i="4" s="1"/>
  <c r="G68" i="4"/>
  <c r="H67" i="4"/>
  <c r="G66" i="4"/>
  <c r="C21" i="4"/>
  <c r="B57" i="4"/>
  <c r="C57" i="4" s="1"/>
  <c r="D57" i="4" s="1"/>
  <c r="E57" i="4" s="1"/>
  <c r="F57" i="4" s="1"/>
  <c r="A53" i="4"/>
  <c r="A52" i="4"/>
  <c r="AA44" i="4"/>
  <c r="M42" i="4"/>
  <c r="P38" i="4"/>
  <c r="O38" i="4"/>
  <c r="G38" i="4"/>
  <c r="Z36" i="4"/>
  <c r="Z44" i="4" s="1"/>
  <c r="I36" i="4"/>
  <c r="AB36" i="4"/>
  <c r="AB44" i="4" s="1"/>
  <c r="AA35" i="4"/>
  <c r="E35" i="4"/>
  <c r="E34" i="4"/>
  <c r="D34" i="4"/>
  <c r="E33" i="4"/>
  <c r="I28" i="4"/>
  <c r="D28" i="4"/>
  <c r="E27" i="4"/>
  <c r="C27" i="4"/>
  <c r="H26" i="4"/>
  <c r="F26" i="4"/>
  <c r="E26" i="4"/>
  <c r="D26" i="4"/>
  <c r="I26" i="4" s="1"/>
  <c r="P23" i="4"/>
  <c r="P40" i="4" s="1"/>
  <c r="O23" i="4"/>
  <c r="G23" i="4"/>
  <c r="G40" i="4" s="1"/>
  <c r="AC22" i="4"/>
  <c r="AB22" i="4"/>
  <c r="Q22" i="4"/>
  <c r="G22" i="4"/>
  <c r="F22" i="4"/>
  <c r="E22" i="4"/>
  <c r="D22" i="4"/>
  <c r="H22" i="4" s="1"/>
  <c r="C22" i="4"/>
  <c r="AC21" i="4"/>
  <c r="AB21" i="4"/>
  <c r="G21" i="4"/>
  <c r="AC20" i="4"/>
  <c r="AB20" i="4"/>
  <c r="Z23" i="4"/>
  <c r="Y23" i="4"/>
  <c r="Y11" i="4"/>
  <c r="P11" i="4"/>
  <c r="Q11" i="4" s="1"/>
  <c r="N11" i="4"/>
  <c r="O11" i="4" s="1"/>
  <c r="C11" i="4"/>
  <c r="D11" i="4" s="1"/>
  <c r="E11" i="4" s="1"/>
  <c r="F11" i="4" s="1"/>
  <c r="B11" i="4"/>
  <c r="X7" i="4"/>
  <c r="M7" i="4"/>
  <c r="A7" i="4"/>
  <c r="I81" i="5" l="1"/>
  <c r="I144" i="5"/>
  <c r="G144" i="5"/>
  <c r="I57" i="5"/>
  <c r="G57" i="5"/>
  <c r="G11" i="5"/>
  <c r="I11" i="5"/>
  <c r="AC34" i="5"/>
  <c r="AC38" i="5"/>
  <c r="AC35" i="5"/>
  <c r="I106" i="5"/>
  <c r="G106" i="5"/>
  <c r="I157" i="5"/>
  <c r="F157" i="5"/>
  <c r="H157" i="5" s="1"/>
  <c r="AA34" i="5"/>
  <c r="AA38" i="5"/>
  <c r="AC21" i="5"/>
  <c r="D128" i="5"/>
  <c r="I126" i="5"/>
  <c r="AA35" i="5"/>
  <c r="H119" i="5"/>
  <c r="E70" i="5"/>
  <c r="C87" i="5"/>
  <c r="I119" i="5"/>
  <c r="H123" i="5"/>
  <c r="D87" i="5"/>
  <c r="I78" i="5"/>
  <c r="I85" i="5"/>
  <c r="I212" i="5"/>
  <c r="G212" i="5"/>
  <c r="I158" i="5"/>
  <c r="F158" i="5"/>
  <c r="H158" i="5" s="1"/>
  <c r="I163" i="5"/>
  <c r="F163" i="5"/>
  <c r="H163" i="5" s="1"/>
  <c r="I192" i="5"/>
  <c r="F192" i="5"/>
  <c r="C128" i="5"/>
  <c r="C33" i="5" s="1"/>
  <c r="I116" i="5"/>
  <c r="F116" i="5"/>
  <c r="H192" i="5"/>
  <c r="I120" i="5"/>
  <c r="F120" i="5"/>
  <c r="H120" i="5" s="1"/>
  <c r="Z44" i="5"/>
  <c r="A117" i="5"/>
  <c r="I220" i="5"/>
  <c r="I159" i="5"/>
  <c r="F159" i="5"/>
  <c r="H159" i="5" s="1"/>
  <c r="D34" i="5"/>
  <c r="F223" i="5"/>
  <c r="C166" i="5"/>
  <c r="I154" i="5"/>
  <c r="F154" i="5"/>
  <c r="H154" i="5" s="1"/>
  <c r="C21" i="5"/>
  <c r="C23" i="5" s="1"/>
  <c r="C68" i="5"/>
  <c r="I79" i="5"/>
  <c r="F83" i="5"/>
  <c r="I117" i="5"/>
  <c r="Y23" i="5"/>
  <c r="Q22" i="5"/>
  <c r="E84" i="5"/>
  <c r="D21" i="5"/>
  <c r="E66" i="5"/>
  <c r="D68" i="5"/>
  <c r="E79" i="5"/>
  <c r="F79" i="5" s="1"/>
  <c r="E83" i="5"/>
  <c r="H117" i="5"/>
  <c r="H121" i="5"/>
  <c r="I25" i="5"/>
  <c r="I160" i="5"/>
  <c r="F160" i="5"/>
  <c r="H160" i="5" s="1"/>
  <c r="H194" i="5"/>
  <c r="I125" i="5"/>
  <c r="A158" i="5"/>
  <c r="I155" i="5"/>
  <c r="F155" i="5"/>
  <c r="H155" i="5" s="1"/>
  <c r="A229" i="5"/>
  <c r="A230" i="5" s="1"/>
  <c r="F126" i="5"/>
  <c r="H126" i="5" s="1"/>
  <c r="I118" i="5"/>
  <c r="F118" i="5"/>
  <c r="H118" i="5" s="1"/>
  <c r="I156" i="5"/>
  <c r="F156" i="5"/>
  <c r="H156" i="5" s="1"/>
  <c r="I182" i="5"/>
  <c r="G182" i="5"/>
  <c r="I196" i="5"/>
  <c r="F196" i="5"/>
  <c r="M42" i="5"/>
  <c r="I80" i="5"/>
  <c r="E80" i="5"/>
  <c r="F80" i="5" s="1"/>
  <c r="A196" i="5"/>
  <c r="H196" i="5"/>
  <c r="F191" i="5"/>
  <c r="H191" i="5" s="1"/>
  <c r="C198" i="5"/>
  <c r="C236" i="5"/>
  <c r="D320" i="5"/>
  <c r="E81" i="5"/>
  <c r="F81" i="5" s="1"/>
  <c r="H164" i="5"/>
  <c r="E243" i="5"/>
  <c r="E246" i="5" s="1"/>
  <c r="H125" i="5"/>
  <c r="I164" i="5"/>
  <c r="F221" i="5"/>
  <c r="H221" i="5" s="1"/>
  <c r="A156" i="4"/>
  <c r="A157" i="4" s="1"/>
  <c r="C268" i="5"/>
  <c r="A195" i="5"/>
  <c r="D236" i="5"/>
  <c r="D198" i="5"/>
  <c r="D223" i="5"/>
  <c r="D27" i="5" s="1"/>
  <c r="A118" i="4"/>
  <c r="E82" i="5"/>
  <c r="F82" i="5" s="1"/>
  <c r="H82" i="5" s="1"/>
  <c r="A193" i="4"/>
  <c r="A194" i="4" s="1"/>
  <c r="A195" i="4" s="1"/>
  <c r="A196" i="4" s="1"/>
  <c r="G11" i="4"/>
  <c r="I11" i="4"/>
  <c r="I106" i="4"/>
  <c r="G106" i="4"/>
  <c r="I57" i="4"/>
  <c r="G57" i="4"/>
  <c r="E84" i="4"/>
  <c r="F85" i="4"/>
  <c r="H85" i="4" s="1"/>
  <c r="I81" i="4"/>
  <c r="C87" i="4"/>
  <c r="AB19" i="4"/>
  <c r="E80" i="4"/>
  <c r="F80" i="4" s="1"/>
  <c r="I125" i="4"/>
  <c r="I80" i="4"/>
  <c r="I84" i="4"/>
  <c r="I118" i="4"/>
  <c r="D128" i="4"/>
  <c r="I126" i="4"/>
  <c r="H126" i="4"/>
  <c r="I192" i="4"/>
  <c r="F192" i="4"/>
  <c r="H192" i="4" s="1"/>
  <c r="I117" i="4"/>
  <c r="F117" i="4"/>
  <c r="H117" i="4" s="1"/>
  <c r="AA23" i="4"/>
  <c r="AC44" i="4" s="1"/>
  <c r="AC19" i="4"/>
  <c r="AA34" i="4"/>
  <c r="AA38" i="4"/>
  <c r="I73" i="4"/>
  <c r="C236" i="4"/>
  <c r="A119" i="4"/>
  <c r="A120" i="4" s="1"/>
  <c r="I119" i="4"/>
  <c r="F119" i="4"/>
  <c r="H119" i="4" s="1"/>
  <c r="C128" i="4"/>
  <c r="C33" i="4" s="1"/>
  <c r="I159" i="4"/>
  <c r="I164" i="4"/>
  <c r="H164" i="4"/>
  <c r="I212" i="4"/>
  <c r="G212" i="4"/>
  <c r="I25" i="4"/>
  <c r="I160" i="4"/>
  <c r="F160" i="4"/>
  <c r="I193" i="4"/>
  <c r="H123" i="4"/>
  <c r="I155" i="4"/>
  <c r="H160" i="4"/>
  <c r="I78" i="4"/>
  <c r="E78" i="4"/>
  <c r="E82" i="4"/>
  <c r="I85" i="4"/>
  <c r="I156" i="4"/>
  <c r="F156" i="4"/>
  <c r="H220" i="4"/>
  <c r="H156" i="4"/>
  <c r="O40" i="4"/>
  <c r="C23" i="4"/>
  <c r="H116" i="4"/>
  <c r="D21" i="4"/>
  <c r="E66" i="4"/>
  <c r="D68" i="4"/>
  <c r="A229" i="4"/>
  <c r="A230" i="4"/>
  <c r="A231" i="4" s="1"/>
  <c r="I116" i="4"/>
  <c r="I120" i="4"/>
  <c r="D87" i="4"/>
  <c r="E83" i="4" s="1"/>
  <c r="I182" i="4"/>
  <c r="G182" i="4"/>
  <c r="E70" i="4"/>
  <c r="E73" i="4" s="1"/>
  <c r="E25" i="4" s="1"/>
  <c r="I79" i="4"/>
  <c r="I195" i="4"/>
  <c r="E79" i="4"/>
  <c r="H121" i="4"/>
  <c r="I157" i="4"/>
  <c r="H162" i="4"/>
  <c r="F191" i="4"/>
  <c r="H191" i="4" s="1"/>
  <c r="C198" i="4"/>
  <c r="I158" i="4"/>
  <c r="F158" i="4"/>
  <c r="H158" i="4" s="1"/>
  <c r="I191" i="4"/>
  <c r="I196" i="4"/>
  <c r="F196" i="4"/>
  <c r="H196" i="4" s="1"/>
  <c r="E269" i="4"/>
  <c r="C166" i="4"/>
  <c r="I166" i="4" s="1"/>
  <c r="I154" i="4"/>
  <c r="F154" i="4"/>
  <c r="H154" i="4" s="1"/>
  <c r="C68" i="4"/>
  <c r="E81" i="4"/>
  <c r="F81" i="4" s="1"/>
  <c r="E243" i="4"/>
  <c r="E246" i="4" s="1"/>
  <c r="H125" i="4"/>
  <c r="C268" i="4"/>
  <c r="E85" i="4"/>
  <c r="D236" i="4"/>
  <c r="D324" i="4"/>
  <c r="D198" i="4"/>
  <c r="D223" i="4"/>
  <c r="D27" i="4" s="1"/>
  <c r="H198" i="5" l="1"/>
  <c r="I221" i="5"/>
  <c r="H223" i="5"/>
  <c r="C88" i="5"/>
  <c r="C32" i="5"/>
  <c r="Y38" i="5"/>
  <c r="F198" i="5"/>
  <c r="C35" i="5"/>
  <c r="F35" i="5" s="1"/>
  <c r="H84" i="5"/>
  <c r="F84" i="5"/>
  <c r="AC36" i="5"/>
  <c r="E248" i="5"/>
  <c r="E225" i="5"/>
  <c r="H80" i="5"/>
  <c r="A231" i="5"/>
  <c r="H79" i="5"/>
  <c r="E73" i="5"/>
  <c r="E25" i="5" s="1"/>
  <c r="H70" i="5"/>
  <c r="H73" i="5" s="1"/>
  <c r="H25" i="5" s="1"/>
  <c r="Y34" i="5"/>
  <c r="AA36" i="5"/>
  <c r="F166" i="5"/>
  <c r="C34" i="5"/>
  <c r="F34" i="5" s="1"/>
  <c r="H34" i="5" s="1"/>
  <c r="I128" i="5"/>
  <c r="D33" i="5"/>
  <c r="H166" i="5"/>
  <c r="H83" i="5"/>
  <c r="H81" i="5"/>
  <c r="I27" i="5"/>
  <c r="H27" i="5"/>
  <c r="H116" i="5"/>
  <c r="H128" i="5" s="1"/>
  <c r="F128" i="5"/>
  <c r="Y35" i="5"/>
  <c r="I198" i="5"/>
  <c r="D35" i="5"/>
  <c r="I68" i="5"/>
  <c r="A159" i="5"/>
  <c r="E21" i="5"/>
  <c r="E23" i="5" s="1"/>
  <c r="E68" i="5"/>
  <c r="F33" i="5"/>
  <c r="E268" i="5"/>
  <c r="C271" i="5"/>
  <c r="D237" i="5"/>
  <c r="D29" i="5"/>
  <c r="D23" i="5"/>
  <c r="I166" i="5"/>
  <c r="C237" i="5"/>
  <c r="C29" i="5"/>
  <c r="D32" i="5"/>
  <c r="I87" i="5"/>
  <c r="D88" i="5"/>
  <c r="E85" i="5"/>
  <c r="E78" i="5"/>
  <c r="A118" i="5"/>
  <c r="A119" i="5" s="1"/>
  <c r="F83" i="4"/>
  <c r="H83" i="4" s="1"/>
  <c r="F79" i="4"/>
  <c r="H79" i="4" s="1"/>
  <c r="I27" i="4"/>
  <c r="H27" i="4"/>
  <c r="AC38" i="4"/>
  <c r="Y38" i="4" s="1"/>
  <c r="AC35" i="4"/>
  <c r="Y35" i="4" s="1"/>
  <c r="AC34" i="4"/>
  <c r="AC36" i="4" s="1"/>
  <c r="H166" i="4"/>
  <c r="F84" i="4"/>
  <c r="H84" i="4" s="1"/>
  <c r="E248" i="4"/>
  <c r="E225" i="4"/>
  <c r="F33" i="4"/>
  <c r="D237" i="4"/>
  <c r="D29" i="4"/>
  <c r="AA36" i="4"/>
  <c r="I220" i="4"/>
  <c r="H223" i="4"/>
  <c r="A232" i="4"/>
  <c r="I68" i="4"/>
  <c r="H80" i="4"/>
  <c r="F128" i="4"/>
  <c r="D23" i="4"/>
  <c r="H81" i="4"/>
  <c r="F82" i="4"/>
  <c r="H82" i="4" s="1"/>
  <c r="H198" i="4"/>
  <c r="H128" i="4"/>
  <c r="E87" i="4"/>
  <c r="F78" i="4"/>
  <c r="C237" i="4"/>
  <c r="C29" i="4"/>
  <c r="A158" i="4"/>
  <c r="H70" i="4"/>
  <c r="H73" i="4" s="1"/>
  <c r="H25" i="4" s="1"/>
  <c r="C88" i="4"/>
  <c r="C32" i="4"/>
  <c r="D35" i="4"/>
  <c r="I198" i="4"/>
  <c r="E68" i="4"/>
  <c r="E21" i="4"/>
  <c r="E23" i="4" s="1"/>
  <c r="F198" i="4"/>
  <c r="C35" i="4"/>
  <c r="D88" i="4"/>
  <c r="D32" i="4"/>
  <c r="I87" i="4"/>
  <c r="E268" i="4"/>
  <c r="C271" i="4"/>
  <c r="C34" i="4"/>
  <c r="F166" i="4"/>
  <c r="I128" i="4"/>
  <c r="D33" i="4"/>
  <c r="A121" i="4"/>
  <c r="F87" i="4" l="1"/>
  <c r="I34" i="5"/>
  <c r="A120" i="5"/>
  <c r="N25" i="5"/>
  <c r="Q25" i="5" s="1"/>
  <c r="Y36" i="5"/>
  <c r="Y44" i="5" s="1"/>
  <c r="AD34" i="5" s="1"/>
  <c r="AD36" i="5" s="1"/>
  <c r="AD44" i="5" s="1"/>
  <c r="I23" i="5"/>
  <c r="I88" i="5"/>
  <c r="N27" i="5"/>
  <c r="Q27" i="5" s="1"/>
  <c r="F85" i="5"/>
  <c r="H85" i="5" s="1"/>
  <c r="E87" i="5"/>
  <c r="F78" i="5"/>
  <c r="F87" i="5" s="1"/>
  <c r="I33" i="5"/>
  <c r="H33" i="5"/>
  <c r="C38" i="5"/>
  <c r="C40" i="5" s="1"/>
  <c r="E28" i="5"/>
  <c r="E36" i="5"/>
  <c r="H225" i="5"/>
  <c r="I225" i="5" s="1"/>
  <c r="A121" i="5"/>
  <c r="I29" i="5"/>
  <c r="D38" i="5"/>
  <c r="D40" i="5" s="1"/>
  <c r="I40" i="5" s="1"/>
  <c r="I32" i="5"/>
  <c r="N34" i="5"/>
  <c r="Q34" i="5" s="1"/>
  <c r="A233" i="5"/>
  <c r="E271" i="5"/>
  <c r="H35" i="5"/>
  <c r="I35" i="5"/>
  <c r="AD38" i="5"/>
  <c r="A232" i="5"/>
  <c r="A234" i="5" s="1"/>
  <c r="E249" i="5"/>
  <c r="A233" i="4"/>
  <c r="A234" i="4" s="1"/>
  <c r="A160" i="5"/>
  <c r="A161" i="5" s="1"/>
  <c r="AD35" i="5"/>
  <c r="C40" i="4"/>
  <c r="N27" i="4"/>
  <c r="Q27" i="4" s="1"/>
  <c r="I29" i="4"/>
  <c r="E88" i="4"/>
  <c r="E32" i="4"/>
  <c r="E38" i="4" s="1"/>
  <c r="N25" i="4"/>
  <c r="Q25" i="4" s="1"/>
  <c r="I88" i="4"/>
  <c r="I33" i="4"/>
  <c r="H33" i="4"/>
  <c r="C38" i="4"/>
  <c r="Y34" i="4"/>
  <c r="F34" i="4"/>
  <c r="H34" i="4" s="1"/>
  <c r="I34" i="4"/>
  <c r="I35" i="4"/>
  <c r="E271" i="4"/>
  <c r="D38" i="4"/>
  <c r="I38" i="4" s="1"/>
  <c r="I32" i="4"/>
  <c r="E28" i="4"/>
  <c r="E36" i="4"/>
  <c r="H225" i="4"/>
  <c r="I225" i="4" s="1"/>
  <c r="H78" i="4"/>
  <c r="H87" i="4" s="1"/>
  <c r="E249" i="4"/>
  <c r="A122" i="4"/>
  <c r="I23" i="4"/>
  <c r="F35" i="4"/>
  <c r="H35" i="4" s="1"/>
  <c r="A159" i="4"/>
  <c r="E232" i="5" l="1"/>
  <c r="E230" i="5"/>
  <c r="E228" i="5"/>
  <c r="E233" i="5"/>
  <c r="E231" i="5"/>
  <c r="E229" i="5"/>
  <c r="E234" i="5"/>
  <c r="E250" i="5"/>
  <c r="N33" i="5"/>
  <c r="Q33" i="5" s="1"/>
  <c r="A162" i="5"/>
  <c r="H78" i="5"/>
  <c r="H87" i="5" s="1"/>
  <c r="N35" i="5"/>
  <c r="Q35" i="5" s="1"/>
  <c r="E32" i="5"/>
  <c r="E88" i="5"/>
  <c r="I38" i="5"/>
  <c r="F36" i="5"/>
  <c r="H36" i="5" s="1"/>
  <c r="N36" i="5" s="1"/>
  <c r="Q36" i="5" s="1"/>
  <c r="A122" i="5"/>
  <c r="N35" i="4"/>
  <c r="Q35" i="4" s="1"/>
  <c r="D40" i="4"/>
  <c r="I40" i="4" s="1"/>
  <c r="N33" i="4"/>
  <c r="Q33" i="4" s="1"/>
  <c r="A123" i="4"/>
  <c r="A124" i="4" s="1"/>
  <c r="F32" i="4"/>
  <c r="A78" i="4"/>
  <c r="E232" i="4"/>
  <c r="E230" i="4"/>
  <c r="E228" i="4"/>
  <c r="E233" i="4"/>
  <c r="E231" i="4"/>
  <c r="E229" i="4"/>
  <c r="E234" i="4"/>
  <c r="E250" i="4"/>
  <c r="N34" i="4"/>
  <c r="Q34" i="4" s="1"/>
  <c r="F36" i="4"/>
  <c r="H36" i="4" s="1"/>
  <c r="N36" i="4" s="1"/>
  <c r="Q36" i="4" s="1"/>
  <c r="AD34" i="4"/>
  <c r="Y36" i="4"/>
  <c r="Y44" i="4" s="1"/>
  <c r="A160" i="4"/>
  <c r="A161" i="4"/>
  <c r="E236" i="5" l="1"/>
  <c r="A123" i="5"/>
  <c r="A124" i="5" s="1"/>
  <c r="A78" i="5"/>
  <c r="E38" i="5"/>
  <c r="F32" i="5"/>
  <c r="F38" i="5" s="1"/>
  <c r="A162" i="4"/>
  <c r="A79" i="4"/>
  <c r="A80" i="4"/>
  <c r="A81" i="4"/>
  <c r="AD36" i="4"/>
  <c r="AD44" i="4" s="1"/>
  <c r="F38" i="4"/>
  <c r="H32" i="4"/>
  <c r="E236" i="4"/>
  <c r="AD35" i="4"/>
  <c r="AD38" i="4"/>
  <c r="A79" i="5" l="1"/>
  <c r="A80" i="5"/>
  <c r="E237" i="5"/>
  <c r="E29" i="5"/>
  <c r="C273" i="5"/>
  <c r="H32" i="5"/>
  <c r="E237" i="4"/>
  <c r="E29" i="4"/>
  <c r="N32" i="4"/>
  <c r="H38" i="4"/>
  <c r="C273" i="4"/>
  <c r="A82" i="4"/>
  <c r="E40" i="5" l="1"/>
  <c r="H38" i="5"/>
  <c r="N32" i="5"/>
  <c r="E273" i="5"/>
  <c r="C312" i="5"/>
  <c r="C315" i="5" s="1"/>
  <c r="A81" i="5"/>
  <c r="A84" i="4"/>
  <c r="E273" i="4"/>
  <c r="C312" i="4"/>
  <c r="C315" i="4" s="1"/>
  <c r="N38" i="4"/>
  <c r="Q32" i="4"/>
  <c r="Q38" i="4" s="1"/>
  <c r="E40" i="4"/>
  <c r="A82" i="5" l="1"/>
  <c r="H273" i="5"/>
  <c r="I273" i="5"/>
  <c r="E315" i="5"/>
  <c r="C324" i="5" s="1"/>
  <c r="D315" i="5"/>
  <c r="C320" i="5" s="1"/>
  <c r="Q32" i="5"/>
  <c r="Q38" i="5" s="1"/>
  <c r="N38" i="5"/>
  <c r="H273" i="4"/>
  <c r="I273" i="4"/>
  <c r="E315" i="4"/>
  <c r="C324" i="4" s="1"/>
  <c r="D315" i="4"/>
  <c r="C320" i="4" s="1"/>
  <c r="A85" i="4"/>
  <c r="F273" i="4" l="1"/>
  <c r="F273" i="5"/>
  <c r="F66" i="5"/>
  <c r="C321" i="5"/>
  <c r="C325" i="5"/>
  <c r="C326" i="5" s="1"/>
  <c r="E326" i="5" s="1"/>
  <c r="E324" i="5"/>
  <c r="F29" i="5"/>
  <c r="A84" i="5"/>
  <c r="F66" i="4"/>
  <c r="C321" i="4"/>
  <c r="C325" i="4"/>
  <c r="C326" i="4" s="1"/>
  <c r="E326" i="4" s="1"/>
  <c r="F29" i="4"/>
  <c r="E324" i="4" l="1"/>
  <c r="A85" i="5"/>
  <c r="F232" i="5"/>
  <c r="H232" i="5" s="1"/>
  <c r="I232" i="5" s="1"/>
  <c r="F229" i="5"/>
  <c r="H229" i="5" s="1"/>
  <c r="I229" i="5" s="1"/>
  <c r="F233" i="5"/>
  <c r="H233" i="5" s="1"/>
  <c r="I233" i="5" s="1"/>
  <c r="F228" i="5"/>
  <c r="F230" i="5"/>
  <c r="H230" i="5" s="1"/>
  <c r="I230" i="5" s="1"/>
  <c r="F231" i="5"/>
  <c r="H231" i="5" s="1"/>
  <c r="I231" i="5" s="1"/>
  <c r="F234" i="5"/>
  <c r="H234" i="5" s="1"/>
  <c r="I234" i="5" s="1"/>
  <c r="H29" i="5"/>
  <c r="E320" i="5"/>
  <c r="F21" i="5"/>
  <c r="F68" i="5"/>
  <c r="F88" i="5" s="1"/>
  <c r="H66" i="5"/>
  <c r="H68" i="5" s="1"/>
  <c r="H88" i="5" s="1"/>
  <c r="F229" i="4"/>
  <c r="H229" i="4" s="1"/>
  <c r="I229" i="4" s="1"/>
  <c r="F228" i="4"/>
  <c r="F232" i="4"/>
  <c r="H232" i="4" s="1"/>
  <c r="I232" i="4" s="1"/>
  <c r="F231" i="4"/>
  <c r="H231" i="4" s="1"/>
  <c r="I231" i="4" s="1"/>
  <c r="F234" i="4"/>
  <c r="H234" i="4" s="1"/>
  <c r="I234" i="4" s="1"/>
  <c r="F230" i="4"/>
  <c r="H230" i="4" s="1"/>
  <c r="I230" i="4" s="1"/>
  <c r="F233" i="4"/>
  <c r="H233" i="4" s="1"/>
  <c r="I233" i="4" s="1"/>
  <c r="H29" i="4"/>
  <c r="E320" i="4"/>
  <c r="F21" i="4"/>
  <c r="F68" i="4"/>
  <c r="F88" i="4" s="1"/>
  <c r="H66" i="4"/>
  <c r="H68" i="4" s="1"/>
  <c r="H88" i="4" s="1"/>
  <c r="F236" i="5" l="1"/>
  <c r="H228" i="5"/>
  <c r="I228" i="5" s="1"/>
  <c r="F23" i="5"/>
  <c r="F40" i="5" s="1"/>
  <c r="H21" i="5"/>
  <c r="N29" i="5"/>
  <c r="Q29" i="5" s="1"/>
  <c r="F23" i="4"/>
  <c r="F40" i="4" s="1"/>
  <c r="H21" i="4"/>
  <c r="N29" i="4"/>
  <c r="Q29" i="4" s="1"/>
  <c r="F236" i="4"/>
  <c r="H228" i="4"/>
  <c r="I228" i="4" s="1"/>
  <c r="N21" i="5" l="1"/>
  <c r="H23" i="5"/>
  <c r="F237" i="5"/>
  <c r="H237" i="5" s="1"/>
  <c r="H236" i="5"/>
  <c r="F237" i="4"/>
  <c r="H237" i="4" s="1"/>
  <c r="H236" i="4"/>
  <c r="H23" i="4"/>
  <c r="N21" i="4"/>
  <c r="H40" i="5" l="1"/>
  <c r="N23" i="5"/>
  <c r="N40" i="5" s="1"/>
  <c r="Q21" i="5"/>
  <c r="Q23" i="5" s="1"/>
  <c r="Q40" i="5" s="1"/>
  <c r="N23" i="4"/>
  <c r="N40" i="4" s="1"/>
  <c r="Q21" i="4"/>
  <c r="Q23" i="4" s="1"/>
  <c r="Q40" i="4" s="1"/>
  <c r="H40" i="4"/>
  <c r="A299" i="3" l="1"/>
  <c r="A298" i="3"/>
  <c r="C313" i="3"/>
  <c r="B260" i="3"/>
  <c r="C260" i="3" s="1"/>
  <c r="A256" i="3"/>
  <c r="A255" i="3"/>
  <c r="D248" i="3"/>
  <c r="C28" i="3"/>
  <c r="H28" i="3" s="1"/>
  <c r="E223" i="3"/>
  <c r="E27" i="3" s="1"/>
  <c r="B212" i="3"/>
  <c r="C212" i="3" s="1"/>
  <c r="D212" i="3" s="1"/>
  <c r="E212" i="3" s="1"/>
  <c r="F212" i="3" s="1"/>
  <c r="A209" i="3"/>
  <c r="A208" i="3"/>
  <c r="A191" i="3"/>
  <c r="B182" i="3"/>
  <c r="C182" i="3" s="1"/>
  <c r="D182" i="3" s="1"/>
  <c r="E182" i="3" s="1"/>
  <c r="F182" i="3" s="1"/>
  <c r="A178" i="3"/>
  <c r="A177" i="3"/>
  <c r="A154" i="3"/>
  <c r="B144" i="3"/>
  <c r="C144" i="3" s="1"/>
  <c r="D144" i="3" s="1"/>
  <c r="E144" i="3" s="1"/>
  <c r="F144" i="3" s="1"/>
  <c r="A140" i="3"/>
  <c r="A139" i="3"/>
  <c r="A116" i="3"/>
  <c r="B106" i="3"/>
  <c r="C106" i="3" s="1"/>
  <c r="D106" i="3" s="1"/>
  <c r="E106" i="3" s="1"/>
  <c r="F106" i="3" s="1"/>
  <c r="A102" i="3"/>
  <c r="A101" i="3"/>
  <c r="C26" i="3"/>
  <c r="F73" i="3"/>
  <c r="H72" i="3"/>
  <c r="C73" i="3"/>
  <c r="C25" i="3" s="1"/>
  <c r="H71" i="3"/>
  <c r="E71" i="3"/>
  <c r="G68" i="3"/>
  <c r="H67" i="3"/>
  <c r="G66" i="3"/>
  <c r="B57" i="3"/>
  <c r="C57" i="3" s="1"/>
  <c r="D57" i="3" s="1"/>
  <c r="E57" i="3" s="1"/>
  <c r="F57" i="3" s="1"/>
  <c r="A53" i="3"/>
  <c r="A52" i="3"/>
  <c r="M42" i="3"/>
  <c r="P38" i="3"/>
  <c r="O38" i="3"/>
  <c r="G38" i="3"/>
  <c r="Z36" i="3"/>
  <c r="I36" i="3"/>
  <c r="AB36" i="3"/>
  <c r="AB44" i="3" s="1"/>
  <c r="E35" i="3"/>
  <c r="E34" i="3"/>
  <c r="E33" i="3"/>
  <c r="N28" i="3"/>
  <c r="Q28" i="3" s="1"/>
  <c r="H26" i="3"/>
  <c r="F26" i="3"/>
  <c r="E26" i="3"/>
  <c r="D26" i="3"/>
  <c r="I26" i="3" s="1"/>
  <c r="P23" i="3"/>
  <c r="P40" i="3" s="1"/>
  <c r="O23" i="3"/>
  <c r="O40" i="3" s="1"/>
  <c r="AC22" i="3"/>
  <c r="AB22" i="3"/>
  <c r="Q22" i="3"/>
  <c r="G22" i="3"/>
  <c r="F22" i="3"/>
  <c r="E22" i="3"/>
  <c r="D22" i="3"/>
  <c r="H22" i="3" s="1"/>
  <c r="C22" i="3"/>
  <c r="AC21" i="3"/>
  <c r="G21" i="3"/>
  <c r="G23" i="3" s="1"/>
  <c r="G40" i="3" s="1"/>
  <c r="AC19" i="3"/>
  <c r="AB19" i="3"/>
  <c r="Y11" i="3"/>
  <c r="N11" i="3"/>
  <c r="O11" i="3" s="1"/>
  <c r="P11" i="3" s="1"/>
  <c r="Q11" i="3" s="1"/>
  <c r="B11" i="3"/>
  <c r="C11" i="3" s="1"/>
  <c r="D11" i="3" s="1"/>
  <c r="E11" i="3" s="1"/>
  <c r="F11" i="3" s="1"/>
  <c r="X7" i="3"/>
  <c r="M7" i="3"/>
  <c r="A7" i="3"/>
  <c r="A117" i="3" l="1"/>
  <c r="A192" i="3"/>
  <c r="A193" i="3" s="1"/>
  <c r="A194" i="3" s="1"/>
  <c r="A228" i="3"/>
  <c r="A229" i="3" s="1"/>
  <c r="A155" i="3"/>
  <c r="A156" i="3" s="1"/>
  <c r="I106" i="3"/>
  <c r="G106" i="3"/>
  <c r="I144" i="3"/>
  <c r="G144" i="3"/>
  <c r="I11" i="3"/>
  <c r="G11" i="3"/>
  <c r="I57" i="3"/>
  <c r="G57" i="3"/>
  <c r="I212" i="3"/>
  <c r="G212" i="3"/>
  <c r="I182" i="3"/>
  <c r="G182" i="3"/>
  <c r="AB21" i="3"/>
  <c r="Z44" i="3"/>
  <c r="E243" i="3"/>
  <c r="A230" i="3" l="1"/>
  <c r="A231" i="3"/>
  <c r="A157" i="3"/>
  <c r="A158" i="3" s="1"/>
  <c r="A118" i="3"/>
  <c r="A195" i="3"/>
  <c r="A159" i="3"/>
  <c r="A232" i="3"/>
  <c r="A233" i="3" s="1"/>
  <c r="A119" i="3" l="1"/>
  <c r="A234" i="3"/>
  <c r="A160" i="3"/>
  <c r="A196" i="3"/>
  <c r="A78" i="3" l="1"/>
  <c r="A120" i="3"/>
  <c r="A161" i="3"/>
  <c r="A162" i="3" s="1"/>
  <c r="A121" i="3" l="1"/>
  <c r="A79" i="3"/>
  <c r="A80" i="3" s="1"/>
  <c r="A122" i="3" l="1"/>
  <c r="A123" i="3" s="1"/>
  <c r="A81" i="3"/>
  <c r="A124" i="3" l="1"/>
  <c r="A82" i="3"/>
  <c r="A84" i="3" l="1"/>
  <c r="A85" i="3" l="1"/>
  <c r="C236" i="3" l="1"/>
  <c r="C29" i="3" s="1"/>
  <c r="C128" i="3" l="1"/>
  <c r="C33" i="3" s="1"/>
  <c r="C198" i="3"/>
  <c r="C35" i="3" s="1"/>
  <c r="C87" i="3"/>
  <c r="C32" i="3" s="1"/>
  <c r="C166" i="3"/>
  <c r="C34" i="3" s="1"/>
  <c r="C38" i="3" l="1"/>
  <c r="Z23" i="3" l="1"/>
  <c r="AA44" i="3" s="1"/>
  <c r="AA23" i="3"/>
  <c r="AC44" i="3" s="1"/>
  <c r="Y23" i="3"/>
  <c r="AC34" i="3" l="1"/>
  <c r="AC38" i="3"/>
  <c r="AC35" i="3"/>
  <c r="AC20" i="3"/>
  <c r="AA34" i="3"/>
  <c r="AA38" i="3"/>
  <c r="Y38" i="3" s="1"/>
  <c r="AA35" i="3"/>
  <c r="Y35" i="3" s="1"/>
  <c r="AB20" i="3"/>
  <c r="AA36" i="3" l="1"/>
  <c r="Y34" i="3"/>
  <c r="AC36" i="3"/>
  <c r="Y36" i="3" l="1"/>
  <c r="Y44" i="3" s="1"/>
  <c r="AD34" i="3" s="1"/>
  <c r="AD35" i="3" l="1"/>
  <c r="AD36" i="3" s="1"/>
  <c r="AD38" i="3"/>
  <c r="AD44" i="3" l="1"/>
  <c r="I119" i="3" l="1"/>
  <c r="F119" i="3"/>
  <c r="H119" i="3" s="1"/>
  <c r="I117" i="3"/>
  <c r="F117" i="3"/>
  <c r="H117" i="3" s="1"/>
  <c r="I196" i="3"/>
  <c r="F196" i="3"/>
  <c r="H196" i="3" s="1"/>
  <c r="I192" i="3"/>
  <c r="F192" i="3"/>
  <c r="H192" i="3" s="1"/>
  <c r="I118" i="3"/>
  <c r="F118" i="3"/>
  <c r="H118" i="3" s="1"/>
  <c r="I164" i="3"/>
  <c r="F164" i="3"/>
  <c r="H164" i="3" s="1"/>
  <c r="D28" i="3"/>
  <c r="I28" i="3" s="1"/>
  <c r="E244" i="3"/>
  <c r="E246" i="3" s="1"/>
  <c r="F220" i="3"/>
  <c r="H220" i="3" s="1"/>
  <c r="D223" i="3"/>
  <c r="D27" i="3" s="1"/>
  <c r="I155" i="3"/>
  <c r="F155" i="3"/>
  <c r="H155" i="3" s="1"/>
  <c r="I162" i="3"/>
  <c r="F162" i="3"/>
  <c r="H162" i="3" s="1"/>
  <c r="I191" i="3"/>
  <c r="D198" i="3"/>
  <c r="F191" i="3"/>
  <c r="H191" i="3" s="1"/>
  <c r="I194" i="3"/>
  <c r="F194" i="3"/>
  <c r="H194" i="3" s="1"/>
  <c r="I124" i="3"/>
  <c r="F124" i="3"/>
  <c r="H124" i="3" s="1"/>
  <c r="I156" i="3"/>
  <c r="F156" i="3"/>
  <c r="H156" i="3" s="1"/>
  <c r="I116" i="3"/>
  <c r="F116" i="3"/>
  <c r="H116" i="3" s="1"/>
  <c r="I123" i="3"/>
  <c r="F123" i="3"/>
  <c r="H123" i="3" s="1"/>
  <c r="I163" i="3"/>
  <c r="F163" i="3"/>
  <c r="H163" i="3" s="1"/>
  <c r="I161" i="3"/>
  <c r="F161" i="3"/>
  <c r="H161" i="3" s="1"/>
  <c r="F221" i="3"/>
  <c r="H221" i="3" s="1"/>
  <c r="I221" i="3" s="1"/>
  <c r="C221" i="3"/>
  <c r="C223" i="3" s="1"/>
  <c r="D166" i="3"/>
  <c r="I157" i="3"/>
  <c r="F157" i="3"/>
  <c r="H157" i="3" s="1"/>
  <c r="I159" i="3"/>
  <c r="F159" i="3"/>
  <c r="H159" i="3" s="1"/>
  <c r="I126" i="3"/>
  <c r="F126" i="3"/>
  <c r="H126" i="3" s="1"/>
  <c r="I154" i="3"/>
  <c r="F154" i="3"/>
  <c r="H154" i="3" s="1"/>
  <c r="D128" i="3" l="1"/>
  <c r="H27" i="3"/>
  <c r="I78" i="3"/>
  <c r="F223" i="3"/>
  <c r="I121" i="3"/>
  <c r="F121" i="3"/>
  <c r="I193" i="3"/>
  <c r="F193" i="3"/>
  <c r="H193" i="3" s="1"/>
  <c r="I128" i="3"/>
  <c r="D33" i="3"/>
  <c r="I122" i="3"/>
  <c r="F122" i="3"/>
  <c r="H122" i="3" s="1"/>
  <c r="I220" i="3"/>
  <c r="H223" i="3"/>
  <c r="I195" i="3"/>
  <c r="F195" i="3"/>
  <c r="H195" i="3" s="1"/>
  <c r="D236" i="3"/>
  <c r="I79" i="3"/>
  <c r="E248" i="3"/>
  <c r="E249" i="3" s="1"/>
  <c r="E225" i="3"/>
  <c r="I198" i="3"/>
  <c r="D35" i="3"/>
  <c r="F198" i="3"/>
  <c r="I120" i="3"/>
  <c r="F120" i="3"/>
  <c r="H120" i="3" s="1"/>
  <c r="D34" i="3"/>
  <c r="I166" i="3"/>
  <c r="F166" i="3"/>
  <c r="I158" i="3"/>
  <c r="F158" i="3"/>
  <c r="H158" i="3" s="1"/>
  <c r="I82" i="3"/>
  <c r="I160" i="3"/>
  <c r="F160" i="3"/>
  <c r="H160" i="3" s="1"/>
  <c r="D21" i="3"/>
  <c r="D68" i="3"/>
  <c r="C27" i="3"/>
  <c r="I27" i="3" s="1"/>
  <c r="C237" i="3"/>
  <c r="I125" i="3"/>
  <c r="F125" i="3"/>
  <c r="H125" i="3" s="1"/>
  <c r="H198" i="3" l="1"/>
  <c r="F128" i="3"/>
  <c r="H166" i="3"/>
  <c r="H271" i="3"/>
  <c r="I83" i="3"/>
  <c r="I35" i="3"/>
  <c r="F35" i="3"/>
  <c r="H35" i="3" s="1"/>
  <c r="H121" i="3"/>
  <c r="H128" i="3" s="1"/>
  <c r="I80" i="3"/>
  <c r="E28" i="3"/>
  <c r="E36" i="3"/>
  <c r="H225" i="3"/>
  <c r="I225" i="3" s="1"/>
  <c r="E250" i="3"/>
  <c r="E232" i="3"/>
  <c r="E230" i="3"/>
  <c r="E228" i="3"/>
  <c r="E233" i="3"/>
  <c r="E231" i="3"/>
  <c r="E229" i="3"/>
  <c r="E234" i="3"/>
  <c r="I84" i="3"/>
  <c r="D87" i="3"/>
  <c r="I33" i="3"/>
  <c r="F33" i="3"/>
  <c r="H33" i="3" s="1"/>
  <c r="N27" i="3"/>
  <c r="Q27" i="3" s="1"/>
  <c r="I34" i="3"/>
  <c r="F34" i="3"/>
  <c r="H34" i="3" s="1"/>
  <c r="D237" i="3"/>
  <c r="D29" i="3"/>
  <c r="D23" i="3"/>
  <c r="I81" i="3"/>
  <c r="C268" i="3"/>
  <c r="D320" i="3"/>
  <c r="I85" i="3"/>
  <c r="N34" i="3" l="1"/>
  <c r="Q34" i="3" s="1"/>
  <c r="N35" i="3"/>
  <c r="Q35" i="3" s="1"/>
  <c r="I271" i="3"/>
  <c r="E236" i="3"/>
  <c r="N33" i="3"/>
  <c r="Q33" i="3" s="1"/>
  <c r="D32" i="3"/>
  <c r="I87" i="3"/>
  <c r="F36" i="3"/>
  <c r="H36" i="3" s="1"/>
  <c r="N36" i="3" s="1"/>
  <c r="Q36" i="3" s="1"/>
  <c r="E268" i="3"/>
  <c r="I29" i="3"/>
  <c r="I32" i="3" l="1"/>
  <c r="D38" i="3"/>
  <c r="I38" i="3" s="1"/>
  <c r="E70" i="3"/>
  <c r="E73" i="3" s="1"/>
  <c r="E25" i="3" s="1"/>
  <c r="D73" i="3"/>
  <c r="H70" i="3"/>
  <c r="H73" i="3" s="1"/>
  <c r="H25" i="3" s="1"/>
  <c r="E66" i="3"/>
  <c r="E82" i="3"/>
  <c r="E79" i="3"/>
  <c r="E78" i="3"/>
  <c r="E80" i="3"/>
  <c r="E83" i="3"/>
  <c r="E85" i="3"/>
  <c r="E84" i="3"/>
  <c r="E81" i="3"/>
  <c r="C269" i="3"/>
  <c r="D324" i="3"/>
  <c r="F271" i="3"/>
  <c r="E237" i="3"/>
  <c r="E29" i="3"/>
  <c r="F83" i="3" l="1"/>
  <c r="H83" i="3" s="1"/>
  <c r="F80" i="3"/>
  <c r="H80" i="3" s="1"/>
  <c r="E87" i="3"/>
  <c r="F78" i="3"/>
  <c r="F79" i="3"/>
  <c r="H79" i="3" s="1"/>
  <c r="F82" i="3"/>
  <c r="H82" i="3" s="1"/>
  <c r="E21" i="3"/>
  <c r="E68" i="3"/>
  <c r="N25" i="3"/>
  <c r="Q25" i="3" s="1"/>
  <c r="D25" i="3"/>
  <c r="I73" i="3"/>
  <c r="D88" i="3"/>
  <c r="E269" i="3"/>
  <c r="C271" i="3"/>
  <c r="F84" i="3"/>
  <c r="H84" i="3" s="1"/>
  <c r="F81" i="3"/>
  <c r="H81" i="3" s="1"/>
  <c r="F85" i="3"/>
  <c r="H85" i="3" s="1"/>
  <c r="F87" i="3" l="1"/>
  <c r="E23" i="3"/>
  <c r="I25" i="3"/>
  <c r="D40" i="3"/>
  <c r="H78" i="3"/>
  <c r="H87" i="3" s="1"/>
  <c r="E88" i="3"/>
  <c r="E32" i="3"/>
  <c r="E271" i="3"/>
  <c r="E38" i="3" l="1"/>
  <c r="F32" i="3"/>
  <c r="F38" i="3" s="1"/>
  <c r="E40" i="3"/>
  <c r="C273" i="3" l="1"/>
  <c r="H32" i="3"/>
  <c r="H38" i="3" l="1"/>
  <c r="N32" i="3"/>
  <c r="E273" i="3"/>
  <c r="C312" i="3"/>
  <c r="C315" i="3" s="1"/>
  <c r="H273" i="3" l="1"/>
  <c r="I273" i="3"/>
  <c r="D315" i="3"/>
  <c r="C320" i="3" s="1"/>
  <c r="E315" i="3"/>
  <c r="C324" i="3" s="1"/>
  <c r="Q32" i="3"/>
  <c r="Q38" i="3" s="1"/>
  <c r="N38" i="3"/>
  <c r="F273" i="3" l="1"/>
  <c r="C325" i="3"/>
  <c r="F29" i="3"/>
  <c r="F66" i="3"/>
  <c r="C321" i="3"/>
  <c r="F21" i="3" l="1"/>
  <c r="F68" i="3"/>
  <c r="F88" i="3" s="1"/>
  <c r="H66" i="3"/>
  <c r="H68" i="3" s="1"/>
  <c r="H88" i="3" s="1"/>
  <c r="F230" i="3"/>
  <c r="H230" i="3" s="1"/>
  <c r="I230" i="3" s="1"/>
  <c r="F231" i="3"/>
  <c r="H231" i="3" s="1"/>
  <c r="I231" i="3" s="1"/>
  <c r="F234" i="3"/>
  <c r="H234" i="3" s="1"/>
  <c r="I234" i="3" s="1"/>
  <c r="F232" i="3"/>
  <c r="H232" i="3" s="1"/>
  <c r="I232" i="3" s="1"/>
  <c r="F233" i="3"/>
  <c r="H233" i="3" s="1"/>
  <c r="I233" i="3" s="1"/>
  <c r="F229" i="3"/>
  <c r="H229" i="3" s="1"/>
  <c r="I229" i="3" s="1"/>
  <c r="F228" i="3"/>
  <c r="H29" i="3"/>
  <c r="C326" i="3"/>
  <c r="F236" i="3" l="1"/>
  <c r="H228" i="3"/>
  <c r="I228" i="3" s="1"/>
  <c r="N29" i="3"/>
  <c r="Q29" i="3" s="1"/>
  <c r="E326" i="3"/>
  <c r="E324" i="3"/>
  <c r="E320" i="3"/>
  <c r="F23" i="3"/>
  <c r="F40" i="3" s="1"/>
  <c r="H21" i="3"/>
  <c r="H23" i="3" l="1"/>
  <c r="N21" i="3"/>
  <c r="F237" i="3"/>
  <c r="H237" i="3" s="1"/>
  <c r="H236" i="3"/>
  <c r="N23" i="3" l="1"/>
  <c r="N40" i="3" s="1"/>
  <c r="Q21" i="3"/>
  <c r="Q23" i="3" s="1"/>
  <c r="Q40" i="3" s="1"/>
  <c r="H40" i="3"/>
  <c r="A299" i="2" l="1"/>
  <c r="A298" i="2"/>
  <c r="C313" i="2"/>
  <c r="B260" i="2"/>
  <c r="C260" i="2" s="1"/>
  <c r="A256" i="2"/>
  <c r="A255" i="2"/>
  <c r="D248" i="2"/>
  <c r="C28" i="2"/>
  <c r="H28" i="2" s="1"/>
  <c r="E223" i="2"/>
  <c r="B212" i="2"/>
  <c r="C212" i="2" s="1"/>
  <c r="D212" i="2" s="1"/>
  <c r="E212" i="2" s="1"/>
  <c r="F212" i="2" s="1"/>
  <c r="A209" i="2"/>
  <c r="A208" i="2"/>
  <c r="A191" i="2"/>
  <c r="A192" i="2" s="1"/>
  <c r="B182" i="2"/>
  <c r="C182" i="2" s="1"/>
  <c r="D182" i="2" s="1"/>
  <c r="E182" i="2" s="1"/>
  <c r="F182" i="2" s="1"/>
  <c r="A178" i="2"/>
  <c r="A177" i="2"/>
  <c r="A154" i="2"/>
  <c r="B144" i="2"/>
  <c r="C144" i="2" s="1"/>
  <c r="D144" i="2" s="1"/>
  <c r="E144" i="2" s="1"/>
  <c r="F144" i="2" s="1"/>
  <c r="A140" i="2"/>
  <c r="A139" i="2"/>
  <c r="A116" i="2"/>
  <c r="A117" i="2" s="1"/>
  <c r="B106" i="2"/>
  <c r="C106" i="2" s="1"/>
  <c r="D106" i="2" s="1"/>
  <c r="E106" i="2" s="1"/>
  <c r="F106" i="2" s="1"/>
  <c r="A102" i="2"/>
  <c r="A101" i="2"/>
  <c r="C26" i="2"/>
  <c r="F73" i="2"/>
  <c r="H72" i="2"/>
  <c r="C73" i="2"/>
  <c r="C25" i="2" s="1"/>
  <c r="H71" i="2"/>
  <c r="E71" i="2"/>
  <c r="G68" i="2"/>
  <c r="H67" i="2"/>
  <c r="G66" i="2"/>
  <c r="B57" i="2"/>
  <c r="C57" i="2" s="1"/>
  <c r="D57" i="2" s="1"/>
  <c r="E57" i="2" s="1"/>
  <c r="F57" i="2" s="1"/>
  <c r="A53" i="2"/>
  <c r="A52" i="2"/>
  <c r="M42" i="2"/>
  <c r="P38" i="2"/>
  <c r="O38" i="2"/>
  <c r="G38" i="2"/>
  <c r="Z36" i="2"/>
  <c r="Z44" i="2" s="1"/>
  <c r="I36" i="2"/>
  <c r="AB36" i="2"/>
  <c r="AB44" i="2" s="1"/>
  <c r="E35" i="2"/>
  <c r="E34" i="2"/>
  <c r="E33" i="2"/>
  <c r="N28" i="2"/>
  <c r="Q28" i="2" s="1"/>
  <c r="E27" i="2"/>
  <c r="H26" i="2"/>
  <c r="F26" i="2"/>
  <c r="E26" i="2"/>
  <c r="D26" i="2"/>
  <c r="I26" i="2" s="1"/>
  <c r="P23" i="2"/>
  <c r="P40" i="2" s="1"/>
  <c r="O23" i="2"/>
  <c r="O40" i="2" s="1"/>
  <c r="AC22" i="2"/>
  <c r="AB22" i="2"/>
  <c r="Q22" i="2"/>
  <c r="G22" i="2"/>
  <c r="F22" i="2"/>
  <c r="E22" i="2"/>
  <c r="D22" i="2"/>
  <c r="H22" i="2" s="1"/>
  <c r="C22" i="2"/>
  <c r="AB21" i="2"/>
  <c r="AC21" i="2"/>
  <c r="G21" i="2"/>
  <c r="G23" i="2" s="1"/>
  <c r="G40" i="2" s="1"/>
  <c r="AB19" i="2"/>
  <c r="Y11" i="2"/>
  <c r="N11" i="2"/>
  <c r="O11" i="2" s="1"/>
  <c r="P11" i="2" s="1"/>
  <c r="Q11" i="2" s="1"/>
  <c r="B11" i="2"/>
  <c r="C11" i="2" s="1"/>
  <c r="D11" i="2" s="1"/>
  <c r="E11" i="2" s="1"/>
  <c r="F11" i="2" s="1"/>
  <c r="X7" i="2"/>
  <c r="M7" i="2"/>
  <c r="A7" i="2"/>
  <c r="A228" i="2" l="1"/>
  <c r="A229" i="2" s="1"/>
  <c r="A230" i="2" s="1"/>
  <c r="A118" i="2"/>
  <c r="A119" i="2" s="1"/>
  <c r="A120" i="2" s="1"/>
  <c r="C21" i="3"/>
  <c r="C68" i="3"/>
  <c r="A193" i="2"/>
  <c r="A194" i="2" s="1"/>
  <c r="A195" i="2" s="1"/>
  <c r="I11" i="2"/>
  <c r="G11" i="2"/>
  <c r="I57" i="2"/>
  <c r="G57" i="2"/>
  <c r="C166" i="2"/>
  <c r="AC19" i="2"/>
  <c r="C87" i="2"/>
  <c r="I212" i="2"/>
  <c r="G212" i="2"/>
  <c r="I182" i="2"/>
  <c r="G182" i="2"/>
  <c r="C198" i="2"/>
  <c r="C236" i="2"/>
  <c r="I106" i="2"/>
  <c r="G106" i="2"/>
  <c r="C128" i="2"/>
  <c r="C33" i="2" s="1"/>
  <c r="I144" i="2"/>
  <c r="G144" i="2"/>
  <c r="E243" i="2"/>
  <c r="A155" i="2"/>
  <c r="A156" i="2" s="1"/>
  <c r="C88" i="3" l="1"/>
  <c r="I88" i="3" s="1"/>
  <c r="I68" i="3"/>
  <c r="C23" i="3"/>
  <c r="A231" i="2"/>
  <c r="A121" i="2"/>
  <c r="A122" i="2" s="1"/>
  <c r="C34" i="2"/>
  <c r="C32" i="2"/>
  <c r="A157" i="2"/>
  <c r="C29" i="2"/>
  <c r="A158" i="2"/>
  <c r="C35" i="2"/>
  <c r="A196" i="2"/>
  <c r="A159" i="2" l="1"/>
  <c r="C40" i="3"/>
  <c r="I40" i="3" s="1"/>
  <c r="I23" i="3"/>
  <c r="A232" i="2"/>
  <c r="C38" i="2"/>
  <c r="A160" i="2"/>
  <c r="A123" i="2"/>
  <c r="A124" i="2" s="1"/>
  <c r="A233" i="2" l="1"/>
  <c r="A234" i="2" s="1"/>
  <c r="A161" i="2"/>
  <c r="A162" i="2" s="1"/>
  <c r="A78" i="2"/>
  <c r="A79" i="2" l="1"/>
  <c r="A80" i="2" s="1"/>
  <c r="A81" i="2" l="1"/>
  <c r="A82" i="2"/>
  <c r="A84" i="2" l="1"/>
  <c r="A85" i="2" l="1"/>
  <c r="Z23" i="2" l="1"/>
  <c r="AA44" i="2" s="1"/>
  <c r="AA23" i="2"/>
  <c r="AC44" i="2" s="1"/>
  <c r="Y23" i="2"/>
  <c r="AC34" i="2" l="1"/>
  <c r="AC38" i="2"/>
  <c r="AC35" i="2"/>
  <c r="AC20" i="2"/>
  <c r="AA34" i="2"/>
  <c r="AA38" i="2"/>
  <c r="Y38" i="2" s="1"/>
  <c r="AA35" i="2"/>
  <c r="Y35" i="2" s="1"/>
  <c r="AB20" i="2"/>
  <c r="AA36" i="2" l="1"/>
  <c r="Y34" i="2"/>
  <c r="AC36" i="2"/>
  <c r="Y36" i="2" l="1"/>
  <c r="Y44" i="2" s="1"/>
  <c r="AD34" i="2"/>
  <c r="AD35" i="2" l="1"/>
  <c r="AD36" i="2" s="1"/>
  <c r="AD38" i="2"/>
  <c r="AD44" i="2" l="1"/>
  <c r="F220" i="2" l="1"/>
  <c r="D223" i="2"/>
  <c r="D27" i="2" s="1"/>
  <c r="I162" i="2"/>
  <c r="F162" i="2"/>
  <c r="H162" i="2" s="1"/>
  <c r="I117" i="2"/>
  <c r="F117" i="2"/>
  <c r="H117" i="2" s="1"/>
  <c r="I154" i="2"/>
  <c r="F154" i="2"/>
  <c r="H154" i="2" s="1"/>
  <c r="I155" i="2"/>
  <c r="F155" i="2"/>
  <c r="H155" i="2" s="1"/>
  <c r="I118" i="2"/>
  <c r="F118" i="2"/>
  <c r="H118" i="2" s="1"/>
  <c r="I156" i="2"/>
  <c r="F156" i="2"/>
  <c r="H156" i="2" s="1"/>
  <c r="I126" i="2"/>
  <c r="F126" i="2"/>
  <c r="H126" i="2" s="1"/>
  <c r="I124" i="2"/>
  <c r="F124" i="2"/>
  <c r="H124" i="2" s="1"/>
  <c r="I161" i="2"/>
  <c r="F161" i="2"/>
  <c r="H161" i="2" s="1"/>
  <c r="I164" i="2"/>
  <c r="F164" i="2"/>
  <c r="H164" i="2" s="1"/>
  <c r="D28" i="2"/>
  <c r="I28" i="2" s="1"/>
  <c r="E244" i="2"/>
  <c r="E246" i="2" s="1"/>
  <c r="I157" i="2"/>
  <c r="F157" i="2"/>
  <c r="H157" i="2" s="1"/>
  <c r="I159" i="2"/>
  <c r="F159" i="2"/>
  <c r="H159" i="2" s="1"/>
  <c r="I194" i="2"/>
  <c r="F194" i="2"/>
  <c r="H194" i="2" s="1"/>
  <c r="I191" i="2"/>
  <c r="F191" i="2"/>
  <c r="H191" i="2" s="1"/>
  <c r="I192" i="2"/>
  <c r="F192" i="2"/>
  <c r="H192" i="2" s="1"/>
  <c r="I163" i="2"/>
  <c r="F163" i="2"/>
  <c r="H163" i="2" s="1"/>
  <c r="I119" i="2"/>
  <c r="F119" i="2"/>
  <c r="H119" i="2" s="1"/>
  <c r="I116" i="2"/>
  <c r="F116" i="2"/>
  <c r="I123" i="2"/>
  <c r="F123" i="2"/>
  <c r="H123" i="2" s="1"/>
  <c r="F221" i="2"/>
  <c r="H221" i="2" s="1"/>
  <c r="I221" i="2" s="1"/>
  <c r="C221" i="2"/>
  <c r="C223" i="2" s="1"/>
  <c r="I196" i="2"/>
  <c r="F196" i="2"/>
  <c r="H196" i="2" s="1"/>
  <c r="D166" i="2" l="1"/>
  <c r="D34" i="2"/>
  <c r="I166" i="2"/>
  <c r="F166" i="2"/>
  <c r="I79" i="2"/>
  <c r="I82" i="2"/>
  <c r="I121" i="2"/>
  <c r="F121" i="2"/>
  <c r="H121" i="2" s="1"/>
  <c r="H116" i="2"/>
  <c r="I125" i="2"/>
  <c r="F125" i="2"/>
  <c r="H125" i="2" s="1"/>
  <c r="E248" i="2"/>
  <c r="E225" i="2"/>
  <c r="I78" i="2"/>
  <c r="D128" i="2"/>
  <c r="I122" i="2"/>
  <c r="F122" i="2"/>
  <c r="H122" i="2" s="1"/>
  <c r="I160" i="2"/>
  <c r="F160" i="2"/>
  <c r="H160" i="2" s="1"/>
  <c r="I158" i="2"/>
  <c r="F158" i="2"/>
  <c r="H158" i="2" s="1"/>
  <c r="I195" i="2"/>
  <c r="F195" i="2"/>
  <c r="H195" i="2" s="1"/>
  <c r="H27" i="2"/>
  <c r="C27" i="2"/>
  <c r="I27" i="2" s="1"/>
  <c r="C237" i="2"/>
  <c r="D236" i="2"/>
  <c r="F223" i="2"/>
  <c r="H220" i="2"/>
  <c r="D198" i="2"/>
  <c r="I120" i="2"/>
  <c r="F120" i="2"/>
  <c r="H120" i="2" s="1"/>
  <c r="D21" i="2"/>
  <c r="D68" i="2"/>
  <c r="I193" i="2"/>
  <c r="F193" i="2"/>
  <c r="H193" i="2" s="1"/>
  <c r="H166" i="2" l="1"/>
  <c r="H198" i="2"/>
  <c r="H271" i="2"/>
  <c r="I85" i="2"/>
  <c r="N27" i="2"/>
  <c r="Q27" i="2" s="1"/>
  <c r="I83" i="2"/>
  <c r="H128" i="2"/>
  <c r="I220" i="2"/>
  <c r="H223" i="2"/>
  <c r="D33" i="2"/>
  <c r="I128" i="2"/>
  <c r="F128" i="2"/>
  <c r="I84" i="2"/>
  <c r="D237" i="2"/>
  <c r="D29" i="2"/>
  <c r="D23" i="2"/>
  <c r="D87" i="2"/>
  <c r="E28" i="2"/>
  <c r="E36" i="2"/>
  <c r="H225" i="2"/>
  <c r="I225" i="2" s="1"/>
  <c r="I80" i="2"/>
  <c r="I34" i="2"/>
  <c r="F34" i="2"/>
  <c r="H34" i="2" s="1"/>
  <c r="E250" i="2"/>
  <c r="C268" i="2"/>
  <c r="D320" i="2"/>
  <c r="I198" i="2"/>
  <c r="D35" i="2"/>
  <c r="F198" i="2"/>
  <c r="I81" i="2"/>
  <c r="E249" i="2"/>
  <c r="N34" i="2" l="1"/>
  <c r="Q34" i="2" s="1"/>
  <c r="I29" i="2"/>
  <c r="I35" i="2"/>
  <c r="F35" i="2"/>
  <c r="H35" i="2" s="1"/>
  <c r="F36" i="2"/>
  <c r="H36" i="2" s="1"/>
  <c r="N36" i="2" s="1"/>
  <c r="Q36" i="2" s="1"/>
  <c r="D32" i="2"/>
  <c r="I87" i="2"/>
  <c r="E268" i="2"/>
  <c r="I271" i="2"/>
  <c r="E232" i="2"/>
  <c r="E230" i="2"/>
  <c r="E228" i="2"/>
  <c r="E233" i="2"/>
  <c r="E231" i="2"/>
  <c r="E229" i="2"/>
  <c r="E234" i="2"/>
  <c r="I33" i="2"/>
  <c r="F33" i="2"/>
  <c r="H33" i="2" s="1"/>
  <c r="N33" i="2" l="1"/>
  <c r="Q33" i="2" s="1"/>
  <c r="C269" i="2"/>
  <c r="D324" i="2"/>
  <c r="F271" i="2"/>
  <c r="E236" i="2"/>
  <c r="N35" i="2"/>
  <c r="Q35" i="2" s="1"/>
  <c r="E70" i="2"/>
  <c r="E73" i="2" s="1"/>
  <c r="E25" i="2" s="1"/>
  <c r="D73" i="2"/>
  <c r="E78" i="2"/>
  <c r="E66" i="2"/>
  <c r="E79" i="2"/>
  <c r="E82" i="2"/>
  <c r="E80" i="2"/>
  <c r="E81" i="2"/>
  <c r="E85" i="2"/>
  <c r="E84" i="2"/>
  <c r="E83" i="2"/>
  <c r="D38" i="2"/>
  <c r="I38" i="2" s="1"/>
  <c r="I32" i="2"/>
  <c r="H70" i="2" l="1"/>
  <c r="H73" i="2" s="1"/>
  <c r="H25" i="2" s="1"/>
  <c r="F83" i="2"/>
  <c r="H83" i="2" s="1"/>
  <c r="F84" i="2"/>
  <c r="H84" i="2" s="1"/>
  <c r="F85" i="2"/>
  <c r="H85" i="2" s="1"/>
  <c r="F81" i="2"/>
  <c r="H81" i="2" s="1"/>
  <c r="F80" i="2"/>
  <c r="H80" i="2" s="1"/>
  <c r="F79" i="2"/>
  <c r="H79" i="2" s="1"/>
  <c r="E237" i="2"/>
  <c r="E29" i="2"/>
  <c r="E87" i="2"/>
  <c r="F78" i="2"/>
  <c r="H78" i="2" s="1"/>
  <c r="F82" i="2"/>
  <c r="H82" i="2" s="1"/>
  <c r="E21" i="2"/>
  <c r="E68" i="2"/>
  <c r="E269" i="2"/>
  <c r="C271" i="2"/>
  <c r="D25" i="2"/>
  <c r="I73" i="2"/>
  <c r="D88" i="2"/>
  <c r="N25" i="2" l="1"/>
  <c r="Q25" i="2" s="1"/>
  <c r="E271" i="2"/>
  <c r="H87" i="2"/>
  <c r="E88" i="2"/>
  <c r="E32" i="2"/>
  <c r="E23" i="2"/>
  <c r="F87" i="2"/>
  <c r="I25" i="2"/>
  <c r="D40" i="2"/>
  <c r="E38" i="2" l="1"/>
  <c r="E40" i="2" s="1"/>
  <c r="F32" i="2"/>
  <c r="F38" i="2" s="1"/>
  <c r="C273" i="2" l="1"/>
  <c r="H32" i="2"/>
  <c r="H38" i="2" l="1"/>
  <c r="N32" i="2"/>
  <c r="E273" i="2"/>
  <c r="C312" i="2"/>
  <c r="C315" i="2" s="1"/>
  <c r="I273" i="2" l="1"/>
  <c r="H273" i="2"/>
  <c r="D315" i="2"/>
  <c r="C320" i="2" s="1"/>
  <c r="E315" i="2"/>
  <c r="C324" i="2" s="1"/>
  <c r="Q32" i="2"/>
  <c r="Q38" i="2" s="1"/>
  <c r="N38" i="2"/>
  <c r="F273" i="2" l="1"/>
  <c r="C325" i="2"/>
  <c r="F29" i="2"/>
  <c r="F66" i="2"/>
  <c r="C321" i="2"/>
  <c r="F21" i="2" l="1"/>
  <c r="F68" i="2"/>
  <c r="F88" i="2" s="1"/>
  <c r="H66" i="2"/>
  <c r="H68" i="2" s="1"/>
  <c r="H88" i="2" s="1"/>
  <c r="F232" i="2"/>
  <c r="H232" i="2" s="1"/>
  <c r="I232" i="2" s="1"/>
  <c r="F234" i="2"/>
  <c r="H234" i="2" s="1"/>
  <c r="I234" i="2" s="1"/>
  <c r="F233" i="2"/>
  <c r="H233" i="2" s="1"/>
  <c r="I233" i="2" s="1"/>
  <c r="F231" i="2"/>
  <c r="H231" i="2" s="1"/>
  <c r="I231" i="2" s="1"/>
  <c r="F230" i="2"/>
  <c r="H230" i="2" s="1"/>
  <c r="I230" i="2" s="1"/>
  <c r="F228" i="2"/>
  <c r="F229" i="2"/>
  <c r="H229" i="2" s="1"/>
  <c r="I229" i="2" s="1"/>
  <c r="H29" i="2"/>
  <c r="C326" i="2"/>
  <c r="E326" i="2" l="1"/>
  <c r="E324" i="2"/>
  <c r="E320" i="2"/>
  <c r="N29" i="2"/>
  <c r="Q29" i="2" s="1"/>
  <c r="F236" i="2"/>
  <c r="H228" i="2"/>
  <c r="I228" i="2" s="1"/>
  <c r="F23" i="2"/>
  <c r="F40" i="2" s="1"/>
  <c r="H21" i="2"/>
  <c r="H23" i="2" l="1"/>
  <c r="N21" i="2"/>
  <c r="F237" i="2"/>
  <c r="H237" i="2" s="1"/>
  <c r="H236" i="2"/>
  <c r="N23" i="2" l="1"/>
  <c r="N40" i="2" s="1"/>
  <c r="Q21" i="2"/>
  <c r="Q23" i="2" s="1"/>
  <c r="Q40" i="2" s="1"/>
  <c r="H40" i="2"/>
  <c r="C21" i="2" l="1"/>
  <c r="C68" i="2"/>
  <c r="C88" i="2" l="1"/>
  <c r="I88" i="2" s="1"/>
  <c r="I68" i="2"/>
  <c r="C23" i="2"/>
  <c r="C40" i="2" l="1"/>
  <c r="I40" i="2" s="1"/>
  <c r="I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E05E37A3-8AC9-4A1A-9A5C-8B510C69BA9A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D04D4609-F0EE-4BA9-930B-53C3428A608F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76BA2374-337D-42F3-BC15-576B0C45390C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9999261F-5961-4361-8D1F-A6B69FED4657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sharedStrings.xml><?xml version="1.0" encoding="utf-8"?>
<sst xmlns="http://schemas.openxmlformats.org/spreadsheetml/2006/main" count="1952" uniqueCount="216">
  <si>
    <t>Schedule G 1.2</t>
  </si>
  <si>
    <t>Schedule G 1.2A</t>
  </si>
  <si>
    <t>Schedule G 1.2B</t>
  </si>
  <si>
    <t>Page 1 of 6</t>
  </si>
  <si>
    <t>Page 1 of 2</t>
  </si>
  <si>
    <t>Page 2 of 2</t>
  </si>
  <si>
    <t>Page 1 of 1</t>
  </si>
  <si>
    <t>NEWFOUNDLAND AND LABRADOR HYDRO</t>
  </si>
  <si>
    <t>Total System</t>
  </si>
  <si>
    <t>Comparison of Revenue &amp; Allocated Revenue Requirement</t>
  </si>
  <si>
    <t>Allocation of Rate Mitigation</t>
  </si>
  <si>
    <t>Classification &amp; Allocation of  Muskrat Falls Purchased Power Cost</t>
  </si>
  <si>
    <t>Cost of Service Before</t>
  </si>
  <si>
    <t xml:space="preserve">Revenue Requirement </t>
  </si>
  <si>
    <t>Revenue</t>
  </si>
  <si>
    <t>Rate Mitigation</t>
  </si>
  <si>
    <t>Total Muskrat Falls</t>
  </si>
  <si>
    <t>Line</t>
  </si>
  <si>
    <t>Deficit and Revenue</t>
  </si>
  <si>
    <t>RSP</t>
  </si>
  <si>
    <t>After Deficit and Revenue</t>
  </si>
  <si>
    <t>to Cost</t>
  </si>
  <si>
    <t>(Allocated consistent</t>
  </si>
  <si>
    <t>Net Class</t>
  </si>
  <si>
    <t>Purchased Power</t>
  </si>
  <si>
    <t>No.</t>
  </si>
  <si>
    <t>Rate Class</t>
  </si>
  <si>
    <t>Revenues</t>
  </si>
  <si>
    <t>Credit Allocation</t>
  </si>
  <si>
    <t>Credits</t>
  </si>
  <si>
    <t>Deficit</t>
  </si>
  <si>
    <t>Activity</t>
  </si>
  <si>
    <t>Coverage</t>
  </si>
  <si>
    <t>with Muskrat Falls PPA)</t>
  </si>
  <si>
    <t>Billing Amount</t>
  </si>
  <si>
    <t>Costs</t>
  </si>
  <si>
    <t>Demand</t>
  </si>
  <si>
    <t>Energy</t>
  </si>
  <si>
    <t>(Col.3+4+5)</t>
  </si>
  <si>
    <t>(Col.2/3)</t>
  </si>
  <si>
    <t>($)</t>
  </si>
  <si>
    <t>%</t>
  </si>
  <si>
    <t>Power Purchases-MF</t>
  </si>
  <si>
    <t>Total Exports</t>
  </si>
  <si>
    <t>Newfoundland Power</t>
  </si>
  <si>
    <t>Power Purchases - LTA Costs</t>
  </si>
  <si>
    <t>RSP Activity</t>
  </si>
  <si>
    <r>
      <t xml:space="preserve">Hydro Rural </t>
    </r>
    <r>
      <rPr>
        <vertAlign val="superscript"/>
        <sz val="10"/>
        <rFont val="Arial"/>
        <family val="2"/>
      </rPr>
      <t>1</t>
    </r>
  </si>
  <si>
    <t>Power Purchases - LIL Costs</t>
  </si>
  <si>
    <t>Subtotal Newfoundland Power</t>
  </si>
  <si>
    <t>Total Muskrat Falls Purchased Power</t>
  </si>
  <si>
    <t xml:space="preserve">Island Industrial </t>
  </si>
  <si>
    <t>Unallocated RSP Hydraulic Variation</t>
  </si>
  <si>
    <t xml:space="preserve">Labrador Industrial </t>
  </si>
  <si>
    <t>CFB - Goose Bay Secondary</t>
  </si>
  <si>
    <t>Overall</t>
  </si>
  <si>
    <t>Rural Labrador Interconnected</t>
  </si>
  <si>
    <t>Production</t>
  </si>
  <si>
    <t xml:space="preserve">Allocation of </t>
  </si>
  <si>
    <t xml:space="preserve">Muskrat Falls </t>
  </si>
  <si>
    <t>Rural Deficit Areas</t>
  </si>
  <si>
    <t>(1 CP kW)</t>
  </si>
  <si>
    <t>(MWh @ Gen)</t>
  </si>
  <si>
    <t>Island Interconnected</t>
  </si>
  <si>
    <t>Island Isolated</t>
  </si>
  <si>
    <t>Labrador Isolated</t>
  </si>
  <si>
    <t>L'Anse au Loup</t>
  </si>
  <si>
    <t>CFB Revenue Credit Applied to Deficit</t>
  </si>
  <si>
    <t>Subtotal</t>
  </si>
  <si>
    <t>Total</t>
  </si>
  <si>
    <t>Page 2 of 6</t>
  </si>
  <si>
    <t>Credit</t>
  </si>
  <si>
    <t>Allocation</t>
  </si>
  <si>
    <t>NLP RSP Activity</t>
  </si>
  <si>
    <t>Industrial - Firm</t>
  </si>
  <si>
    <t>Industrial - Non-Firm</t>
  </si>
  <si>
    <t>Industrial RSP Activity</t>
  </si>
  <si>
    <t>Subtotal Industrial</t>
  </si>
  <si>
    <t>Rural</t>
  </si>
  <si>
    <t>1.1 Domestic</t>
  </si>
  <si>
    <t>ISLINT1.1</t>
  </si>
  <si>
    <t xml:space="preserve">1.12 Domestic All Electric </t>
  </si>
  <si>
    <t>ISLINT1.12</t>
  </si>
  <si>
    <t>1.3 Special</t>
  </si>
  <si>
    <t>ISLINT1.3</t>
  </si>
  <si>
    <t>2.1 General Service 0-100 kW</t>
  </si>
  <si>
    <t>ISLINT2.1</t>
  </si>
  <si>
    <t>2.2 General Service 10-100 kW</t>
  </si>
  <si>
    <t>ISLINT2.2</t>
  </si>
  <si>
    <t>2.3 General Service 110-1,000 kVa</t>
  </si>
  <si>
    <t>ISLINT2.3</t>
  </si>
  <si>
    <t>2.4 General Service Over 1,000 kVa</t>
  </si>
  <si>
    <t>ISLINT2.4</t>
  </si>
  <si>
    <t>4.1 Street and Area Lighting</t>
  </si>
  <si>
    <t>ISLINT4.1</t>
  </si>
  <si>
    <t>Subtotal Rural</t>
  </si>
  <si>
    <t>Total Island Interconnected</t>
  </si>
  <si>
    <t>Page 3 of 6</t>
  </si>
  <si>
    <t>1.2 Domestic Diesel</t>
  </si>
  <si>
    <t>ISLISO1.2</t>
  </si>
  <si>
    <t>1.2G Government Domestic Diesel</t>
  </si>
  <si>
    <t>ISLISO1.2G</t>
  </si>
  <si>
    <t>1.23 Churches, Schools &amp; Com Halls</t>
  </si>
  <si>
    <t>ISLISO1.23</t>
  </si>
  <si>
    <t>2.1 General Service 0-10 kW</t>
  </si>
  <si>
    <t>ISLISO2.1D</t>
  </si>
  <si>
    <t>2.2 GS 10-100 kW</t>
  </si>
  <si>
    <t>ISLISO2.2D</t>
  </si>
  <si>
    <t>2.3 GS 110-1,000 kVa</t>
  </si>
  <si>
    <t>ISLISO2.3</t>
  </si>
  <si>
    <t>ISLISO2.4</t>
  </si>
  <si>
    <t>2.5 GS Diesel</t>
  </si>
  <si>
    <t>ISLISO2.5</t>
  </si>
  <si>
    <t>2.5G Gov't General Service Diesel</t>
  </si>
  <si>
    <t>ISLISO2.5G</t>
  </si>
  <si>
    <t>ISLISO4.1</t>
  </si>
  <si>
    <t>4.1G Gov't Street and Area Lighting</t>
  </si>
  <si>
    <t>ISLISO4.1G</t>
  </si>
  <si>
    <t xml:space="preserve">      Total</t>
  </si>
  <si>
    <t>Page 4 of 6</t>
  </si>
  <si>
    <t>LABISO1.2</t>
  </si>
  <si>
    <t>LABISO1.2G</t>
  </si>
  <si>
    <t>LABISO1.23</t>
  </si>
  <si>
    <t>LABISO2.1D</t>
  </si>
  <si>
    <t>LABISO2.2</t>
  </si>
  <si>
    <t>LABISO2.3</t>
  </si>
  <si>
    <t>LABISO2.4</t>
  </si>
  <si>
    <t>LABISO2.5</t>
  </si>
  <si>
    <t>LABISO2.5G</t>
  </si>
  <si>
    <t>LABISO4.1</t>
  </si>
  <si>
    <t>LABISO4.1G</t>
  </si>
  <si>
    <t>Page 5 of 6</t>
  </si>
  <si>
    <t>LAL1.2</t>
  </si>
  <si>
    <t>LAL1.12</t>
  </si>
  <si>
    <t>LAL2.1</t>
  </si>
  <si>
    <t>LAL2.2</t>
  </si>
  <si>
    <t>LAL2.3</t>
  </si>
  <si>
    <t>LAL4.1</t>
  </si>
  <si>
    <t>Total L'Anse Au Loup</t>
  </si>
  <si>
    <t>Page 6 of 6</t>
  </si>
  <si>
    <t>Labrador Interconnected</t>
  </si>
  <si>
    <t>Labrador Industrial Firm</t>
  </si>
  <si>
    <t>Labrador Industrial Non-Firm</t>
  </si>
  <si>
    <t xml:space="preserve">1.1 Domestic </t>
  </si>
  <si>
    <t>LEINT1.1</t>
  </si>
  <si>
    <t xml:space="preserve">1.1A Domestic All Electric </t>
  </si>
  <si>
    <t>LEINT1.12</t>
  </si>
  <si>
    <t>LEINT2.1</t>
  </si>
  <si>
    <t>LEINT2.2</t>
  </si>
  <si>
    <t>LEINT2.3</t>
  </si>
  <si>
    <t>LEINT2.4</t>
  </si>
  <si>
    <t>LEINT4.1</t>
  </si>
  <si>
    <t>Total Labrador Interconnected</t>
  </si>
  <si>
    <t>NOTES:</t>
  </si>
  <si>
    <t>Revenue to Cost ratios include the deficit allocation when calculated for individual rate classes.</t>
  </si>
  <si>
    <t>Calculation of CFB - Goose Bay Secondary Revenue Credit</t>
  </si>
  <si>
    <t>CFB - Goose Bay Secondary Revenues, Ln 4, Col 2</t>
  </si>
  <si>
    <t>CFB - Goose Bay Secondary Allocated Cost of Service, Ln 4, Col 3</t>
  </si>
  <si>
    <t>CFB - Goose Bay Secondary Allocated Deficit, Ln 4, Col 5</t>
  </si>
  <si>
    <t>Revenue Credit</t>
  </si>
  <si>
    <t>Revenue Credit Applied to Deficit</t>
  </si>
  <si>
    <t>Revenue Credit Applied to Firm Regulated Labrador Interconnected Customers</t>
  </si>
  <si>
    <t>Schedule G 1.2.1</t>
  </si>
  <si>
    <t>Rural Deficit Allocation</t>
  </si>
  <si>
    <t>Before Deficit and Revenue Credit Allocation</t>
  </si>
  <si>
    <t>Allocated</t>
  </si>
  <si>
    <t>Rural Rate</t>
  </si>
  <si>
    <t>Revenue Reqt</t>
  </si>
  <si>
    <t>Mitigation</t>
  </si>
  <si>
    <t>Customer</t>
  </si>
  <si>
    <t xml:space="preserve">         Source</t>
  </si>
  <si>
    <t>CLASSIFICATION TO DEMAND, ENERGY, CUSTOMERS:</t>
  </si>
  <si>
    <t xml:space="preserve">  Newfoundland Power</t>
  </si>
  <si>
    <t xml:space="preserve">  Schedule G 1.3.1, p. 1</t>
  </si>
  <si>
    <t xml:space="preserve">  Rural Labrador Interconnected</t>
  </si>
  <si>
    <t xml:space="preserve">  Schedule G 1.3.1, p. 3</t>
  </si>
  <si>
    <t xml:space="preserve">    Total</t>
  </si>
  <si>
    <t xml:space="preserve">    Deficit Classified</t>
  </si>
  <si>
    <t xml:space="preserve">  Net Prorated on Line 3</t>
  </si>
  <si>
    <t>NOTE:  This page omitted from the print range in favour of Page 2 below.</t>
  </si>
  <si>
    <t>* Specifically assigned costs are converted to equivalent unweighted customers</t>
  </si>
  <si>
    <t xml:space="preserve">  by dividing the assigned cost by the allocated customer cost per unweighted customer.</t>
  </si>
  <si>
    <t xml:space="preserve">  Rural Customer Costs per Rural Customer:</t>
  </si>
  <si>
    <t xml:space="preserve">    Island Interconnected:  </t>
  </si>
  <si>
    <t xml:space="preserve"> </t>
  </si>
  <si>
    <t xml:space="preserve">    Labrador Interconnected:   </t>
  </si>
  <si>
    <t>Deficit Allocation</t>
  </si>
  <si>
    <t>Allocated on</t>
  </si>
  <si>
    <t xml:space="preserve">  Island</t>
  </si>
  <si>
    <t xml:space="preserve">  Labrador</t>
  </si>
  <si>
    <t xml:space="preserve">  Interconnected</t>
  </si>
  <si>
    <t xml:space="preserve"> Interconnected</t>
  </si>
  <si>
    <t>ALLOCATION OF DEFICIT:</t>
  </si>
  <si>
    <t xml:space="preserve">  Rural Deficit Classified</t>
  </si>
  <si>
    <t xml:space="preserve">  Rural rate Mitigation</t>
  </si>
  <si>
    <t xml:space="preserve">    Allocated Totals</t>
  </si>
  <si>
    <t>CUSTOMER DEFICIT ALLOCATION:</t>
  </si>
  <si>
    <t>Amount</t>
  </si>
  <si>
    <t>Revenue Requirement</t>
  </si>
  <si>
    <t>Percent</t>
  </si>
  <si>
    <t xml:space="preserve">  Island Interconnected:</t>
  </si>
  <si>
    <t xml:space="preserve">    Newfoundland Power</t>
  </si>
  <si>
    <t xml:space="preserve">     Sub-Total Island Interconnected</t>
  </si>
  <si>
    <t xml:space="preserve">  Labrador Interconnected:</t>
  </si>
  <si>
    <t xml:space="preserve">    Rural Labrador Interconnected</t>
  </si>
  <si>
    <t xml:space="preserve">      Subtotal Labrador Interconnected</t>
  </si>
  <si>
    <t xml:space="preserve">  Total</t>
  </si>
  <si>
    <t>Schedule F 1.2</t>
  </si>
  <si>
    <t>Schedule F 1.2A</t>
  </si>
  <si>
    <t>Schedule F 1.2B</t>
  </si>
  <si>
    <t>Schedule F 1.2.1</t>
  </si>
  <si>
    <t xml:space="preserve">  Schedule F 1.3.1, p. 1</t>
  </si>
  <si>
    <t xml:space="preserve">  Schedule F 1.3.1, p. 3</t>
  </si>
  <si>
    <t>1. System Load Factor - basis for classification.</t>
  </si>
  <si>
    <t>Change from Original Filing</t>
  </si>
  <si>
    <t>Net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</si>
</sst>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-mmm\-yyyy"/>
    <numFmt numFmtId="165" formatCode="_(* #,##0_);_(* \(#,##0\);_(* &quot;-&quot;??_);_(@_)"/>
    <numFmt numFmtId="166" formatCode="_(* #,##0.000_);_(* \(#,##0.000\);_(* &quot;-&quot;??_);_(@_)"/>
    <numFmt numFmtId="167" formatCode="#,##0.000000"/>
    <numFmt numFmtId="168" formatCode="0.0%"/>
    <numFmt numFmtId="169" formatCode="_(&quot;$&quot;* #,##0_);_(&quot;$&quot;* \(#,##0\);_(&quot;$&quot;* &quot;-&quot;??_);_(@_)"/>
    <numFmt numFmtId="170" formatCode="0.00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indexed="12"/>
      <name val="Arial"/>
      <family val="2"/>
    </font>
    <font>
      <sz val="11"/>
      <name val="Arial Narrow"/>
      <family val="2"/>
    </font>
    <font>
      <sz val="10"/>
      <color indexed="10"/>
      <name val="Arial"/>
      <family val="2"/>
    </font>
    <font>
      <sz val="11"/>
      <name val="Calibri"/>
      <family val="2"/>
    </font>
    <font>
      <b/>
      <sz val="11"/>
      <name val="Arial Narrow"/>
      <family val="2"/>
    </font>
    <font>
      <sz val="10"/>
      <color indexed="48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0" borderId="0"/>
    <xf numFmtId="9" fontId="14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9" fontId="0" fillId="0" borderId="0" xfId="2" applyFont="1" applyAlignment="1">
      <alignment horizontal="center"/>
    </xf>
    <xf numFmtId="0" fontId="1" fillId="0" borderId="0" xfId="1" applyAlignment="1">
      <alignment horizontal="right"/>
    </xf>
    <xf numFmtId="164" fontId="1" fillId="0" borderId="0" xfId="1" applyNumberFormat="1" applyAlignment="1">
      <alignment horizontal="right"/>
    </xf>
    <xf numFmtId="0" fontId="2" fillId="0" borderId="0" xfId="1" applyFont="1" applyAlignment="1">
      <alignment horizontal="centerContinuous"/>
    </xf>
    <xf numFmtId="0" fontId="2" fillId="0" borderId="0" xfId="1" quotePrefix="1" applyFont="1" applyAlignment="1">
      <alignment horizontal="centerContinuous"/>
    </xf>
    <xf numFmtId="0" fontId="1" fillId="0" borderId="0" xfId="1" quotePrefix="1" applyAlignment="1">
      <alignment horizontal="center"/>
    </xf>
    <xf numFmtId="0" fontId="1" fillId="0" borderId="0" xfId="1" quotePrefix="1" applyAlignment="1">
      <alignment horizontal="centerContinuous"/>
    </xf>
    <xf numFmtId="0" fontId="1" fillId="0" borderId="0" xfId="1" applyAlignment="1">
      <alignment horizontal="centerContinuous"/>
    </xf>
    <xf numFmtId="43" fontId="1" fillId="0" borderId="0" xfId="3" quotePrefix="1" applyFont="1" applyAlignment="1">
      <alignment horizontal="center"/>
    </xf>
    <xf numFmtId="44" fontId="1" fillId="0" borderId="0" xfId="1" applyNumberFormat="1"/>
    <xf numFmtId="165" fontId="1" fillId="0" borderId="0" xfId="1" applyNumberFormat="1"/>
    <xf numFmtId="165" fontId="0" fillId="0" borderId="0" xfId="3" applyNumberFormat="1" applyFont="1"/>
    <xf numFmtId="10" fontId="1" fillId="0" borderId="0" xfId="1" applyNumberFormat="1"/>
    <xf numFmtId="0" fontId="2" fillId="0" borderId="0" xfId="1" applyFont="1"/>
    <xf numFmtId="43" fontId="1" fillId="0" borderId="0" xfId="1" applyNumberFormat="1"/>
    <xf numFmtId="165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165" fontId="1" fillId="0" borderId="0" xfId="3" applyNumberFormat="1" applyFont="1"/>
    <xf numFmtId="165" fontId="2" fillId="0" borderId="1" xfId="1" applyNumberFormat="1" applyFont="1" applyBorder="1"/>
    <xf numFmtId="2" fontId="2" fillId="0" borderId="1" xfId="1" applyNumberFormat="1" applyFont="1" applyBorder="1"/>
    <xf numFmtId="0" fontId="1" fillId="0" borderId="0" xfId="1" quotePrefix="1" applyAlignment="1">
      <alignment horizontal="left"/>
    </xf>
    <xf numFmtId="0" fontId="2" fillId="0" borderId="0" xfId="1" quotePrefix="1" applyFont="1" applyAlignment="1">
      <alignment horizontal="left"/>
    </xf>
    <xf numFmtId="165" fontId="4" fillId="0" borderId="0" xfId="1" applyNumberFormat="1" applyFont="1"/>
    <xf numFmtId="10" fontId="0" fillId="0" borderId="0" xfId="2" applyNumberFormat="1" applyFont="1"/>
    <xf numFmtId="10" fontId="5" fillId="0" borderId="0" xfId="2" applyNumberFormat="1" applyFont="1" applyAlignment="1">
      <alignment horizontal="center"/>
    </xf>
    <xf numFmtId="165" fontId="1" fillId="0" borderId="0" xfId="3" applyNumberFormat="1" applyFont="1" applyBorder="1"/>
    <xf numFmtId="10" fontId="1" fillId="0" borderId="1" xfId="1" applyNumberFormat="1" applyBorder="1" applyAlignment="1">
      <alignment horizontal="center"/>
    </xf>
    <xf numFmtId="43" fontId="1" fillId="0" borderId="0" xfId="3" applyFont="1" applyBorder="1"/>
    <xf numFmtId="165" fontId="2" fillId="0" borderId="1" xfId="3" applyNumberFormat="1" applyFont="1" applyBorder="1"/>
    <xf numFmtId="43" fontId="2" fillId="0" borderId="1" xfId="3" applyFont="1" applyBorder="1"/>
    <xf numFmtId="43" fontId="1" fillId="0" borderId="0" xfId="3" applyFont="1"/>
    <xf numFmtId="165" fontId="2" fillId="0" borderId="2" xfId="3" applyNumberFormat="1" applyFont="1" applyBorder="1"/>
    <xf numFmtId="43" fontId="2" fillId="0" borderId="2" xfId="3" applyFont="1" applyBorder="1"/>
    <xf numFmtId="3" fontId="1" fillId="0" borderId="0" xfId="1" applyNumberFormat="1"/>
    <xf numFmtId="0" fontId="3" fillId="0" borderId="0" xfId="1" applyFont="1" applyAlignment="1">
      <alignment horizontal="right"/>
    </xf>
    <xf numFmtId="165" fontId="6" fillId="0" borderId="0" xfId="1" applyNumberFormat="1" applyFont="1"/>
    <xf numFmtId="166" fontId="6" fillId="0" borderId="0" xfId="1" applyNumberFormat="1" applyFont="1"/>
    <xf numFmtId="10" fontId="1" fillId="0" borderId="0" xfId="1" applyNumberFormat="1" applyAlignment="1">
      <alignment horizontal="center"/>
    </xf>
    <xf numFmtId="0" fontId="1" fillId="0" borderId="0" xfId="1" quotePrefix="1" applyAlignment="1">
      <alignment horizontal="left" indent="1"/>
    </xf>
    <xf numFmtId="0" fontId="2" fillId="0" borderId="0" xfId="1" applyFont="1" applyAlignment="1">
      <alignment horizontal="center"/>
    </xf>
    <xf numFmtId="37" fontId="1" fillId="0" borderId="0" xfId="1" applyNumberFormat="1"/>
    <xf numFmtId="43" fontId="0" fillId="0" borderId="0" xfId="3" applyFont="1" applyFill="1"/>
    <xf numFmtId="165" fontId="1" fillId="0" borderId="3" xfId="1" applyNumberFormat="1" applyBorder="1"/>
    <xf numFmtId="37" fontId="1" fillId="0" borderId="3" xfId="1" applyNumberFormat="1" applyBorder="1"/>
    <xf numFmtId="165" fontId="2" fillId="0" borderId="0" xfId="1" applyNumberFormat="1" applyFont="1"/>
    <xf numFmtId="2" fontId="2" fillId="0" borderId="0" xfId="1" applyNumberFormat="1" applyFont="1"/>
    <xf numFmtId="43" fontId="0" fillId="0" borderId="3" xfId="3" applyFont="1" applyFill="1" applyBorder="1"/>
    <xf numFmtId="165" fontId="2" fillId="0" borderId="3" xfId="1" applyNumberFormat="1" applyFont="1" applyBorder="1"/>
    <xf numFmtId="2" fontId="2" fillId="0" borderId="3" xfId="1" applyNumberFormat="1" applyFont="1" applyBorder="1"/>
    <xf numFmtId="165" fontId="0" fillId="0" borderId="0" xfId="3" applyNumberFormat="1" applyFont="1" applyFill="1"/>
    <xf numFmtId="43" fontId="0" fillId="0" borderId="0" xfId="3" applyFont="1"/>
    <xf numFmtId="2" fontId="1" fillId="0" borderId="0" xfId="1" applyNumberFormat="1"/>
    <xf numFmtId="165" fontId="2" fillId="0" borderId="2" xfId="1" applyNumberFormat="1" applyFont="1" applyBorder="1"/>
    <xf numFmtId="167" fontId="1" fillId="0" borderId="0" xfId="1" applyNumberFormat="1"/>
    <xf numFmtId="0" fontId="1" fillId="0" borderId="0" xfId="1" applyAlignment="1">
      <alignment horizontal="left" indent="1"/>
    </xf>
    <xf numFmtId="0" fontId="7" fillId="0" borderId="0" xfId="4" applyFont="1"/>
    <xf numFmtId="0" fontId="8" fillId="0" borderId="0" xfId="1" applyFont="1"/>
    <xf numFmtId="165" fontId="2" fillId="0" borderId="4" xfId="3" applyNumberFormat="1" applyFont="1" applyBorder="1"/>
    <xf numFmtId="43" fontId="2" fillId="0" borderId="4" xfId="3" applyFont="1" applyBorder="1"/>
    <xf numFmtId="165" fontId="0" fillId="0" borderId="0" xfId="3" applyNumberFormat="1" applyFont="1" applyBorder="1"/>
    <xf numFmtId="3" fontId="2" fillId="0" borderId="4" xfId="1" applyNumberFormat="1" applyFont="1" applyBorder="1"/>
    <xf numFmtId="43" fontId="0" fillId="0" borderId="0" xfId="3" applyFont="1" applyAlignment="1">
      <alignment horizontal="center"/>
    </xf>
    <xf numFmtId="165" fontId="1" fillId="0" borderId="0" xfId="3" applyNumberFormat="1" applyFont="1" applyFill="1"/>
    <xf numFmtId="165" fontId="1" fillId="0" borderId="0" xfId="3" applyNumberFormat="1" applyFont="1" applyFill="1" applyBorder="1"/>
    <xf numFmtId="165" fontId="9" fillId="0" borderId="0" xfId="3" applyNumberFormat="1" applyFont="1"/>
    <xf numFmtId="165" fontId="1" fillId="0" borderId="4" xfId="1" applyNumberFormat="1" applyBorder="1"/>
    <xf numFmtId="168" fontId="2" fillId="0" borderId="0" xfId="1" applyNumberFormat="1" applyFont="1"/>
    <xf numFmtId="0" fontId="1" fillId="0" borderId="0" xfId="1" quotePrefix="1" applyAlignment="1">
      <alignment horizontal="right"/>
    </xf>
    <xf numFmtId="0" fontId="1" fillId="0" borderId="3" xfId="1" applyBorder="1" applyAlignment="1">
      <alignment horizontal="left" wrapText="1"/>
    </xf>
    <xf numFmtId="0" fontId="1" fillId="0" borderId="3" xfId="1" applyBorder="1" applyAlignment="1">
      <alignment horizontal="centerContinuous"/>
    </xf>
    <xf numFmtId="165" fontId="2" fillId="0" borderId="4" xfId="1" applyNumberFormat="1" applyFont="1" applyBorder="1"/>
    <xf numFmtId="3" fontId="2" fillId="0" borderId="0" xfId="1" applyNumberFormat="1" applyFont="1"/>
    <xf numFmtId="7" fontId="0" fillId="0" borderId="0" xfId="5" applyNumberFormat="1" applyFont="1" applyBorder="1" applyAlignment="1">
      <alignment horizontal="right"/>
    </xf>
    <xf numFmtId="7" fontId="0" fillId="0" borderId="0" xfId="5" applyNumberFormat="1" applyFont="1"/>
    <xf numFmtId="0" fontId="1" fillId="0" borderId="3" xfId="1" applyBorder="1" applyAlignment="1">
      <alignment horizontal="center"/>
    </xf>
    <xf numFmtId="0" fontId="10" fillId="0" borderId="0" xfId="1" quotePrefix="1" applyFont="1" applyAlignment="1">
      <alignment horizontal="left"/>
    </xf>
    <xf numFmtId="0" fontId="1" fillId="0" borderId="3" xfId="1" applyBorder="1"/>
    <xf numFmtId="168" fontId="0" fillId="0" borderId="0" xfId="2" applyNumberFormat="1" applyFont="1" applyAlignment="1">
      <alignment horizontal="center"/>
    </xf>
    <xf numFmtId="168" fontId="1" fillId="0" borderId="0" xfId="1" applyNumberFormat="1" applyAlignment="1">
      <alignment horizontal="center"/>
    </xf>
    <xf numFmtId="168" fontId="0" fillId="0" borderId="5" xfId="2" applyNumberFormat="1" applyFont="1" applyBorder="1" applyAlignment="1">
      <alignment horizontal="center"/>
    </xf>
    <xf numFmtId="0" fontId="13" fillId="0" borderId="0" xfId="6" applyAlignment="1">
      <alignment horizontal="center"/>
    </xf>
    <xf numFmtId="0" fontId="13" fillId="0" borderId="0" xfId="6"/>
    <xf numFmtId="0" fontId="13" fillId="0" borderId="0" xfId="6" applyAlignment="1">
      <alignment horizontal="right"/>
    </xf>
    <xf numFmtId="0" fontId="1" fillId="0" borderId="0" xfId="6" applyFont="1" applyAlignment="1">
      <alignment horizontal="right"/>
    </xf>
    <xf numFmtId="164" fontId="13" fillId="0" borderId="0" xfId="6" applyNumberFormat="1" applyAlignment="1">
      <alignment horizontal="right"/>
    </xf>
    <xf numFmtId="0" fontId="2" fillId="0" borderId="0" xfId="6" applyFont="1" applyAlignment="1">
      <alignment horizontal="centerContinuous"/>
    </xf>
    <xf numFmtId="0" fontId="2" fillId="0" borderId="0" xfId="6" quotePrefix="1" applyFont="1" applyAlignment="1">
      <alignment horizontal="centerContinuous"/>
    </xf>
    <xf numFmtId="0" fontId="13" fillId="0" borderId="0" xfId="6" quotePrefix="1" applyAlignment="1">
      <alignment horizontal="center"/>
    </xf>
    <xf numFmtId="0" fontId="13" fillId="0" borderId="0" xfId="6" quotePrefix="1" applyAlignment="1">
      <alignment horizontal="centerContinuous"/>
    </xf>
    <xf numFmtId="0" fontId="1" fillId="0" borderId="0" xfId="6" applyFont="1"/>
    <xf numFmtId="0" fontId="1" fillId="0" borderId="0" xfId="6" quotePrefix="1" applyFont="1" applyAlignment="1">
      <alignment horizontal="center"/>
    </xf>
    <xf numFmtId="0" fontId="1" fillId="0" borderId="0" xfId="6" applyFont="1" applyAlignment="1">
      <alignment horizontal="center"/>
    </xf>
    <xf numFmtId="0" fontId="13" fillId="0" borderId="0" xfId="6" applyAlignment="1">
      <alignment horizontal="centerContinuous"/>
    </xf>
    <xf numFmtId="0" fontId="1" fillId="0" borderId="0" xfId="6" applyFont="1" applyAlignment="1">
      <alignment horizontal="centerContinuous"/>
    </xf>
    <xf numFmtId="44" fontId="13" fillId="0" borderId="0" xfId="6" applyNumberFormat="1"/>
    <xf numFmtId="165" fontId="13" fillId="0" borderId="0" xfId="6" applyNumberFormat="1"/>
    <xf numFmtId="10" fontId="13" fillId="0" borderId="0" xfId="6" applyNumberFormat="1"/>
    <xf numFmtId="0" fontId="2" fillId="0" borderId="0" xfId="6" applyFont="1"/>
    <xf numFmtId="43" fontId="13" fillId="0" borderId="0" xfId="6" applyNumberFormat="1"/>
    <xf numFmtId="165" fontId="1" fillId="0" borderId="0" xfId="6" applyNumberFormat="1" applyFont="1"/>
    <xf numFmtId="165" fontId="13" fillId="0" borderId="0" xfId="6" applyNumberFormat="1" applyAlignment="1">
      <alignment horizontal="center"/>
    </xf>
    <xf numFmtId="0" fontId="13" fillId="0" borderId="0" xfId="6" applyAlignment="1">
      <alignment horizontal="left"/>
    </xf>
    <xf numFmtId="43" fontId="1" fillId="0" borderId="0" xfId="6" applyNumberFormat="1" applyFont="1"/>
    <xf numFmtId="0" fontId="1" fillId="0" borderId="0" xfId="6" applyFont="1" applyAlignment="1">
      <alignment horizontal="left"/>
    </xf>
    <xf numFmtId="165" fontId="2" fillId="0" borderId="1" xfId="6" applyNumberFormat="1" applyFont="1" applyBorder="1"/>
    <xf numFmtId="2" fontId="2" fillId="0" borderId="1" xfId="6" applyNumberFormat="1" applyFont="1" applyBorder="1"/>
    <xf numFmtId="0" fontId="13" fillId="0" borderId="0" xfId="6" quotePrefix="1" applyAlignment="1">
      <alignment horizontal="left"/>
    </xf>
    <xf numFmtId="0" fontId="2" fillId="0" borderId="0" xfId="6" quotePrefix="1" applyFont="1" applyAlignment="1">
      <alignment horizontal="left"/>
    </xf>
    <xf numFmtId="165" fontId="4" fillId="0" borderId="0" xfId="6" applyNumberFormat="1" applyFont="1"/>
    <xf numFmtId="10" fontId="13" fillId="0" borderId="1" xfId="6" applyNumberFormat="1" applyBorder="1" applyAlignment="1">
      <alignment horizontal="center"/>
    </xf>
    <xf numFmtId="3" fontId="13" fillId="0" borderId="0" xfId="6" applyNumberFormat="1"/>
    <xf numFmtId="0" fontId="3" fillId="0" borderId="0" xfId="6" applyFont="1" applyAlignment="1">
      <alignment horizontal="right"/>
    </xf>
    <xf numFmtId="165" fontId="6" fillId="0" borderId="0" xfId="6" applyNumberFormat="1" applyFont="1"/>
    <xf numFmtId="166" fontId="6" fillId="0" borderId="0" xfId="6" applyNumberFormat="1" applyFont="1"/>
    <xf numFmtId="10" fontId="13" fillId="0" borderId="0" xfId="6" applyNumberFormat="1" applyAlignment="1">
      <alignment horizontal="center"/>
    </xf>
    <xf numFmtId="0" fontId="13" fillId="0" borderId="0" xfId="6" quotePrefix="1" applyAlignment="1">
      <alignment horizontal="left" indent="1"/>
    </xf>
    <xf numFmtId="0" fontId="2" fillId="0" borderId="0" xfId="6" applyFont="1" applyAlignment="1">
      <alignment horizontal="center"/>
    </xf>
    <xf numFmtId="37" fontId="13" fillId="0" borderId="0" xfId="6" applyNumberFormat="1"/>
    <xf numFmtId="165" fontId="13" fillId="0" borderId="3" xfId="6" applyNumberFormat="1" applyBorder="1"/>
    <xf numFmtId="37" fontId="13" fillId="0" borderId="3" xfId="6" applyNumberFormat="1" applyBorder="1"/>
    <xf numFmtId="165" fontId="2" fillId="0" borderId="0" xfId="6" applyNumberFormat="1" applyFont="1"/>
    <xf numFmtId="2" fontId="2" fillId="0" borderId="0" xfId="6" applyNumberFormat="1" applyFont="1"/>
    <xf numFmtId="165" fontId="2" fillId="0" borderId="3" xfId="6" applyNumberFormat="1" applyFont="1" applyBorder="1"/>
    <xf numFmtId="2" fontId="2" fillId="0" borderId="3" xfId="6" applyNumberFormat="1" applyFont="1" applyBorder="1"/>
    <xf numFmtId="2" fontId="13" fillId="0" borderId="0" xfId="6" applyNumberFormat="1"/>
    <xf numFmtId="165" fontId="2" fillId="0" borderId="2" xfId="6" applyNumberFormat="1" applyFont="1" applyBorder="1"/>
    <xf numFmtId="167" fontId="13" fillId="0" borderId="0" xfId="6" applyNumberFormat="1"/>
    <xf numFmtId="0" fontId="13" fillId="0" borderId="0" xfId="6" applyAlignment="1">
      <alignment horizontal="left" indent="1"/>
    </xf>
    <xf numFmtId="0" fontId="1" fillId="0" borderId="0" xfId="6" quotePrefix="1" applyFont="1" applyAlignment="1">
      <alignment horizontal="left"/>
    </xf>
    <xf numFmtId="0" fontId="8" fillId="0" borderId="0" xfId="6" applyFont="1"/>
    <xf numFmtId="3" fontId="2" fillId="0" borderId="4" xfId="6" applyNumberFormat="1" applyFont="1" applyBorder="1"/>
    <xf numFmtId="165" fontId="13" fillId="0" borderId="4" xfId="6" applyNumberFormat="1" applyBorder="1"/>
    <xf numFmtId="168" fontId="2" fillId="0" borderId="0" xfId="6" applyNumberFormat="1" applyFont="1"/>
    <xf numFmtId="0" fontId="13" fillId="0" borderId="0" xfId="6" quotePrefix="1" applyAlignment="1">
      <alignment horizontal="right"/>
    </xf>
    <xf numFmtId="0" fontId="13" fillId="0" borderId="3" xfId="6" applyBorder="1" applyAlignment="1">
      <alignment horizontal="left" wrapText="1"/>
    </xf>
    <xf numFmtId="0" fontId="13" fillId="0" borderId="3" xfId="6" applyBorder="1" applyAlignment="1">
      <alignment horizontal="centerContinuous"/>
    </xf>
    <xf numFmtId="165" fontId="2" fillId="0" borderId="4" xfId="6" applyNumberFormat="1" applyFont="1" applyBorder="1"/>
    <xf numFmtId="3" fontId="2" fillId="0" borderId="0" xfId="6" applyNumberFormat="1" applyFont="1"/>
    <xf numFmtId="0" fontId="1" fillId="0" borderId="0" xfId="6" quotePrefix="1" applyFont="1" applyAlignment="1">
      <alignment horizontal="right"/>
    </xf>
    <xf numFmtId="0" fontId="1" fillId="0" borderId="3" xfId="6" applyFont="1" applyBorder="1" applyAlignment="1">
      <alignment horizontal="center"/>
    </xf>
    <xf numFmtId="0" fontId="13" fillId="0" borderId="3" xfId="6" applyBorder="1" applyAlignment="1">
      <alignment horizontal="center"/>
    </xf>
    <xf numFmtId="0" fontId="10" fillId="0" borderId="0" xfId="6" quotePrefix="1" applyFont="1" applyAlignment="1">
      <alignment horizontal="left"/>
    </xf>
    <xf numFmtId="0" fontId="1" fillId="0" borderId="3" xfId="6" applyFont="1" applyBorder="1"/>
    <xf numFmtId="168" fontId="13" fillId="0" borderId="0" xfId="6" applyNumberFormat="1" applyAlignment="1">
      <alignment horizontal="center"/>
    </xf>
    <xf numFmtId="0" fontId="1" fillId="2" borderId="0" xfId="1" applyFill="1"/>
    <xf numFmtId="165" fontId="1" fillId="2" borderId="0" xfId="1" applyNumberFormat="1" applyFill="1"/>
    <xf numFmtId="0" fontId="1" fillId="2" borderId="0" xfId="1" applyFill="1" applyAlignment="1">
      <alignment horizontal="center"/>
    </xf>
    <xf numFmtId="43" fontId="1" fillId="2" borderId="0" xfId="1" applyNumberFormat="1" applyFill="1"/>
    <xf numFmtId="43" fontId="1" fillId="2" borderId="0" xfId="3" applyFont="1" applyFill="1" applyBorder="1"/>
    <xf numFmtId="43" fontId="2" fillId="2" borderId="1" xfId="3" applyFont="1" applyFill="1" applyBorder="1"/>
    <xf numFmtId="43" fontId="1" fillId="2" borderId="0" xfId="3" applyFont="1" applyFill="1"/>
    <xf numFmtId="43" fontId="2" fillId="2" borderId="2" xfId="3" applyFont="1" applyFill="1" applyBorder="1"/>
    <xf numFmtId="165" fontId="1" fillId="2" borderId="6" xfId="1" applyNumberFormat="1" applyFill="1" applyBorder="1"/>
    <xf numFmtId="169" fontId="2" fillId="0" borderId="1" xfId="1" applyNumberFormat="1" applyFont="1" applyBorder="1"/>
    <xf numFmtId="10" fontId="1" fillId="2" borderId="0" xfId="7" applyNumberFormat="1" applyFont="1" applyFill="1"/>
    <xf numFmtId="170" fontId="1" fillId="2" borderId="0" xfId="7" applyNumberFormat="1" applyFont="1" applyFill="1"/>
    <xf numFmtId="10" fontId="2" fillId="3" borderId="1" xfId="7" applyNumberFormat="1" applyFont="1" applyFill="1" applyBorder="1"/>
    <xf numFmtId="0" fontId="1" fillId="2" borderId="0" xfId="1" applyFill="1" applyAlignment="1">
      <alignment horizontal="center"/>
    </xf>
  </cellXfs>
  <cellStyles count="8">
    <cellStyle name="Comma 2" xfId="3" xr:uid="{213D2977-8FF7-4C46-9974-E0BB268BD79D}"/>
    <cellStyle name="Currency 2" xfId="5" xr:uid="{0D8E200C-0737-4D6E-8945-58B423642DD0}"/>
    <cellStyle name="Normal" xfId="0" builtinId="0"/>
    <cellStyle name="Normal 2" xfId="1" xr:uid="{9F5F53B1-D501-401B-A9CA-3D823B67ABCB}"/>
    <cellStyle name="Normal 2 2" xfId="4" xr:uid="{096E16B9-05CA-4FDE-AFA7-5F3A80857084}"/>
    <cellStyle name="Normal 3" xfId="6" xr:uid="{BD19F7AD-0110-4F35-B69D-2FC9F1E8D18F}"/>
    <cellStyle name="Percent" xfId="7" builtinId="5"/>
    <cellStyle name="Percent 2" xfId="2" xr:uid="{E3C3AC83-417A-42E2-BCD7-9881FC7E5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56127A4D-0895-410C-AD9C-1D65876A43E0}"/>
            </a:ext>
          </a:extLst>
        </xdr:cNvPr>
        <xdr:cNvSpPr/>
      </xdr:nvSpPr>
      <xdr:spPr bwMode="auto">
        <a:xfrm>
          <a:off x="6191250" y="41236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F740F83F-71D6-4FFA-93DF-BE4ED568A22C}"/>
            </a:ext>
          </a:extLst>
        </xdr:cNvPr>
        <xdr:cNvSpPr/>
      </xdr:nvSpPr>
      <xdr:spPr bwMode="auto">
        <a:xfrm>
          <a:off x="6191250" y="44475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010EF26A-DDDF-4BD0-BC37-C86678BE3325}"/>
            </a:ext>
          </a:extLst>
        </xdr:cNvPr>
        <xdr:cNvSpPr/>
      </xdr:nvSpPr>
      <xdr:spPr bwMode="auto">
        <a:xfrm>
          <a:off x="6191250" y="46094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B94E126C-50B9-4D3D-B2F2-2AEC06B3752A}"/>
            </a:ext>
          </a:extLst>
        </xdr:cNvPr>
        <xdr:cNvSpPr/>
      </xdr:nvSpPr>
      <xdr:spPr bwMode="auto">
        <a:xfrm>
          <a:off x="2733675" y="60001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DCD66349-A23C-4127-B5BB-CA6C305ED462}"/>
            </a:ext>
          </a:extLst>
        </xdr:cNvPr>
        <xdr:cNvSpPr/>
      </xdr:nvSpPr>
      <xdr:spPr bwMode="auto">
        <a:xfrm>
          <a:off x="3943350" y="60001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B6E6F379-2A2D-4F39-9866-D6C9218B9B25}"/>
            </a:ext>
          </a:extLst>
        </xdr:cNvPr>
        <xdr:cNvSpPr/>
      </xdr:nvSpPr>
      <xdr:spPr bwMode="auto">
        <a:xfrm>
          <a:off x="6191250" y="3617531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564DB720-4662-4D15-93C2-FAAF88EBC12A}"/>
            </a:ext>
          </a:extLst>
        </xdr:cNvPr>
        <xdr:cNvSpPr/>
      </xdr:nvSpPr>
      <xdr:spPr bwMode="auto">
        <a:xfrm>
          <a:off x="5210175" y="394328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E99AEBD2-1C91-464C-A7D3-C55C062B7525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AF2F7E3E-F73D-4130-AC3A-A4150232F814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AEDCC140-4B68-4A52-A290-7303816F9F60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DF972FB6-9870-4A3C-B716-A69996D2A5D0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549A48BC-C659-414B-A88E-C3958EA6284F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FC33E424-DE5A-4802-9C29-1306C4B1D3A3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4AB047B2-5CF3-41F5-8529-AE7A57C303BA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BCFE2CFA-1CF2-4976-A16A-4DC12FCC5862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0F3CDA54-7E17-4CE9-B104-A6A21689B71E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1C939F4F-FA37-4C02-BEC8-F627CF909FF8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2E736942-BA9A-49AC-8E08-5A1AFC5511F4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E0797CF7-7CE8-411D-AC15-DA4BF68DB724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40B6299B-FB00-4D60-A0F1-71B23EDAAFB5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E466E8D2-1D0A-4556-A761-30EB1AE4DC2C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689F118B-462D-4EFD-B862-5035B37E9264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D3FAD4B4-F482-4773-AF8A-5310B3496869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600F8997-D68D-41B2-B4BD-AF959C2BA568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44309A4D-FC03-494F-B032-6E8E56B07262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6AD073B7-9256-4065-82C6-4490A520DC82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47B34974-5D83-4A0B-84F4-DAABE7BDC784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A3178116-B93E-4EA1-990A-CAF3CFED9CBA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0.%20COS%202027%20-%20No%20Rate%20Mitigation\COS%2027.xlsm" TargetMode="External"/><Relationship Id="rId1" Type="http://schemas.openxmlformats.org/officeDocument/2006/relationships/externalLinkPath" Target="/Regulatory%20Affairs/Rates%20Internal/6.%20Cost%20of%20Service/3.%202027%20GRA/1.Cost%20of%20Service/2027%20TY-%20June%202025%20Load%20Forecast/0.%20COS%202027%20-%20No%20Rate%20Mitigation/COS%2027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Analysis%20Scenarios\CA-NLH-152\2027%20TY-%20June%202025%20Load%20Forecast\COS%2027.xlsm" TargetMode="External"/><Relationship Id="rId1" Type="http://schemas.openxmlformats.org/officeDocument/2006/relationships/externalLinkPath" Target="2027%20TY-%20June%202025%20Load%20Forecast/COS%2027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COS%2027.xlsm" TargetMode="External"/><Relationship Id="rId1" Type="http://schemas.openxmlformats.org/officeDocument/2006/relationships/externalLinkPath" Target="/Regulatory%20Affairs/Rates%20Internal/6.%20Cost%20of%20Service/3.%202027%20GRA/1.Cost%20of%20Service/2027%20TY-%20June%202025%20Load%20Forecast/COS%2027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Analysis%20Scenarios\CA-NLH-152\0.%20COS%202027%20-%20No%20Rate%20Mitigation\COS%2027.xlsm" TargetMode="External"/><Relationship Id="rId1" Type="http://schemas.openxmlformats.org/officeDocument/2006/relationships/externalLinkPath" Target="0.%20COS%202027%20-%20No%20Rate%20Mitigation/COS%202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6">
          <cell r="B16">
            <v>1</v>
          </cell>
        </row>
        <row r="17">
          <cell r="B17">
            <v>0</v>
          </cell>
        </row>
        <row r="18">
          <cell r="B18">
            <v>1</v>
          </cell>
        </row>
        <row r="19">
          <cell r="B19" t="str">
            <v>Expenses</v>
          </cell>
        </row>
        <row r="20">
          <cell r="B20" t="str">
            <v>2027 Test Year Cost of Service Study (No Rate Mitigation)</v>
          </cell>
        </row>
        <row r="22">
          <cell r="B22">
            <v>1</v>
          </cell>
        </row>
        <row r="23">
          <cell r="B23">
            <v>0</v>
          </cell>
        </row>
        <row r="25">
          <cell r="B25">
            <v>1</v>
          </cell>
        </row>
        <row r="29">
          <cell r="B29">
            <v>0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</sheetNames>
    <sheetDataSet>
      <sheetData sheetId="0" refreshError="1"/>
      <sheetData sheetId="1" refreshError="1"/>
      <sheetData sheetId="2" refreshError="1"/>
      <sheetData sheetId="3">
        <row r="14">
          <cell r="B14">
            <v>1</v>
          </cell>
        </row>
        <row r="15">
          <cell r="B15">
            <v>0</v>
          </cell>
        </row>
        <row r="18">
          <cell r="B18">
            <v>1</v>
          </cell>
        </row>
        <row r="20">
          <cell r="B20" t="str">
            <v>2027 Test Year Cost of Service Study (Holyrood 18.43%)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 refreshError="1"/>
      <sheetData sheetId="5" refreshError="1"/>
      <sheetData sheetId="6">
        <row r="7">
          <cell r="F7">
            <v>5</v>
          </cell>
        </row>
      </sheetData>
      <sheetData sheetId="7">
        <row r="37">
          <cell r="D37">
            <v>8.5999999999999993E-2</v>
          </cell>
        </row>
      </sheetData>
      <sheetData sheetId="8">
        <row r="21">
          <cell r="H21">
            <v>636815799.82546437</v>
          </cell>
        </row>
      </sheetData>
      <sheetData sheetId="9">
        <row r="17">
          <cell r="Q17">
            <v>338982574.25737756</v>
          </cell>
        </row>
      </sheetData>
      <sheetData sheetId="10">
        <row r="17">
          <cell r="O17">
            <v>5.5</v>
          </cell>
        </row>
      </sheetData>
      <sheetData sheetId="11">
        <row r="20">
          <cell r="J20">
            <v>1.069429229760608E-2</v>
          </cell>
        </row>
      </sheetData>
      <sheetData sheetId="12">
        <row r="293">
          <cell r="F293">
            <v>269134555.84989369</v>
          </cell>
        </row>
      </sheetData>
      <sheetData sheetId="13">
        <row r="424">
          <cell r="G424">
            <v>1483146.4540815172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420">
          <cell r="F420">
            <v>7704844.263737564</v>
          </cell>
        </row>
      </sheetData>
      <sheetData sheetId="24">
        <row r="421">
          <cell r="F421">
            <v>25171515.047610119</v>
          </cell>
        </row>
      </sheetData>
      <sheetData sheetId="25">
        <row r="395">
          <cell r="F395">
            <v>2224303.689135131</v>
          </cell>
        </row>
      </sheetData>
      <sheetData sheetId="26" refreshError="1"/>
      <sheetData sheetId="27"/>
      <sheetData sheetId="28" refreshError="1"/>
      <sheetData sheetId="29">
        <row r="23">
          <cell r="R23">
            <v>1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9">
          <cell r="E9">
            <v>100</v>
          </cell>
        </row>
      </sheetData>
      <sheetData sheetId="36" refreshError="1"/>
      <sheetData sheetId="37">
        <row r="116">
          <cell r="B116">
            <v>1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>
        <row r="1">
          <cell r="I1" t="str">
            <v xml:space="preserve">Summary of 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  <sheetName val="Rev to Cost (2)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8">
          <cell r="B18">
            <v>1</v>
          </cell>
        </row>
        <row r="19">
          <cell r="B19" t="str">
            <v>Expenses</v>
          </cell>
        </row>
        <row r="20">
          <cell r="B20" t="str">
            <v>2027 Test Year Cost of Service Study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  <sheetName val="COS 27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8">
          <cell r="B18">
            <v>1</v>
          </cell>
        </row>
        <row r="20">
          <cell r="B20" t="str">
            <v>2027 Test Year Cost of Service Study (No Rate Mitigation and Holyrood at 18.43%)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DA12-D763-40A8-97F4-E8D66D6D2355}">
  <sheetPr codeName="Sheet17">
    <pageSetUpPr fitToPage="1"/>
  </sheetPr>
  <dimension ref="A1:AF327"/>
  <sheetViews>
    <sheetView tabSelected="1" zoomScaleNormal="100" workbookViewId="0">
      <selection activeCell="B29" sqref="B29"/>
    </sheetView>
  </sheetViews>
  <sheetFormatPr defaultRowHeight="12.75" x14ac:dyDescent="0.2"/>
  <cols>
    <col min="1" max="1" width="5.28515625" style="1" customWidth="1"/>
    <col min="2" max="2" width="35.7109375" style="2" customWidth="1"/>
    <col min="3" max="3" width="18.140625" style="2" customWidth="1"/>
    <col min="4" max="4" width="19" style="2" customWidth="1"/>
    <col min="5" max="5" width="14.7109375" style="2" customWidth="1"/>
    <col min="6" max="6" width="13.85546875" style="2" customWidth="1"/>
    <col min="7" max="7" width="14.7109375" style="2" hidden="1" customWidth="1"/>
    <col min="8" max="8" width="22.28515625" style="2" bestFit="1" customWidth="1"/>
    <col min="9" max="9" width="14.7109375" style="2" bestFit="1" customWidth="1"/>
    <col min="10" max="10" width="22.140625" style="2" customWidth="1"/>
    <col min="11" max="11" width="13.28515625" style="2" bestFit="1" customWidth="1"/>
    <col min="12" max="12" width="5.28515625" style="2" customWidth="1"/>
    <col min="13" max="13" width="35.7109375" style="2" customWidth="1"/>
    <col min="14" max="14" width="22.28515625" style="2" bestFit="1" customWidth="1"/>
    <col min="15" max="15" width="18.28515625" style="2" bestFit="1" customWidth="1"/>
    <col min="16" max="16" width="12" style="2" bestFit="1" customWidth="1"/>
    <col min="17" max="17" width="16.28515625" style="2" customWidth="1"/>
    <col min="18" max="21" width="9.140625" style="2"/>
    <col min="22" max="22" width="3.85546875" style="2" customWidth="1"/>
    <col min="23" max="23" width="9.140625" style="2"/>
    <col min="24" max="24" width="33.42578125" style="2" customWidth="1"/>
    <col min="25" max="25" width="22.140625" style="2" bestFit="1" customWidth="1"/>
    <col min="26" max="27" width="13.7109375" style="2" customWidth="1"/>
    <col min="28" max="28" width="13.140625" style="2" bestFit="1" customWidth="1"/>
    <col min="29" max="29" width="12.28515625" style="2" bestFit="1" customWidth="1"/>
    <col min="30" max="30" width="12.85546875" style="2" bestFit="1" customWidth="1"/>
    <col min="31" max="16384" width="9.140625" style="2"/>
  </cols>
  <sheetData>
    <row r="1" spans="1:32" ht="15" x14ac:dyDescent="0.25">
      <c r="C1" s="3"/>
      <c r="I1" s="4"/>
    </row>
    <row r="2" spans="1:32" x14ac:dyDescent="0.2">
      <c r="I2" s="4" t="s">
        <v>207</v>
      </c>
      <c r="M2" s="1"/>
      <c r="U2" s="4" t="s">
        <v>208</v>
      </c>
      <c r="X2" s="1"/>
      <c r="AC2" s="4" t="s">
        <v>208</v>
      </c>
      <c r="AF2" s="4" t="s">
        <v>209</v>
      </c>
    </row>
    <row r="3" spans="1:32" x14ac:dyDescent="0.2">
      <c r="I3" s="4" t="s">
        <v>3</v>
      </c>
      <c r="M3" s="1"/>
      <c r="U3" s="4" t="s">
        <v>4</v>
      </c>
      <c r="X3" s="1"/>
      <c r="AC3" s="4" t="s">
        <v>5</v>
      </c>
      <c r="AF3" s="4" t="s">
        <v>6</v>
      </c>
    </row>
    <row r="4" spans="1:32" x14ac:dyDescent="0.2">
      <c r="I4" s="5"/>
      <c r="M4" s="1"/>
      <c r="U4" s="5"/>
      <c r="X4" s="1"/>
      <c r="AF4" s="5"/>
    </row>
    <row r="5" spans="1:32" x14ac:dyDescent="0.2">
      <c r="M5" s="1"/>
      <c r="X5" s="1"/>
    </row>
    <row r="6" spans="1:32" x14ac:dyDescent="0.2">
      <c r="A6" s="6" t="s">
        <v>7</v>
      </c>
      <c r="B6" s="6"/>
      <c r="C6" s="6"/>
      <c r="D6" s="6"/>
      <c r="E6" s="6"/>
      <c r="F6" s="6"/>
      <c r="G6" s="6"/>
      <c r="H6" s="6"/>
      <c r="I6" s="6"/>
      <c r="M6" s="6" t="s">
        <v>7</v>
      </c>
      <c r="N6" s="6"/>
      <c r="O6" s="6"/>
      <c r="P6" s="6"/>
      <c r="Q6" s="6"/>
      <c r="R6" s="6"/>
      <c r="S6" s="6"/>
      <c r="T6" s="6"/>
      <c r="U6" s="6"/>
      <c r="X6" s="6" t="s">
        <v>7</v>
      </c>
      <c r="Y6" s="6"/>
      <c r="Z6" s="6"/>
      <c r="AA6" s="6"/>
      <c r="AB6" s="6"/>
      <c r="AC6" s="6"/>
      <c r="AD6" s="6"/>
      <c r="AE6" s="6"/>
      <c r="AF6" s="6"/>
    </row>
    <row r="7" spans="1:32" x14ac:dyDescent="0.2">
      <c r="A7" s="7" t="str">
        <f>RunName</f>
        <v>2027 Test Year Cost of Service Study (Holyrood 18.43%)</v>
      </c>
      <c r="B7" s="6"/>
      <c r="C7" s="6"/>
      <c r="D7" s="6"/>
      <c r="E7" s="6"/>
      <c r="F7" s="6"/>
      <c r="G7" s="6"/>
      <c r="H7" s="6"/>
      <c r="I7" s="6"/>
      <c r="M7" s="7" t="str">
        <f>RunName</f>
        <v>2027 Test Year Cost of Service Study (Holyrood 18.43%)</v>
      </c>
      <c r="N7" s="6"/>
      <c r="O7" s="6"/>
      <c r="P7" s="6"/>
      <c r="Q7" s="6"/>
      <c r="R7" s="6"/>
      <c r="S7" s="6"/>
      <c r="T7" s="6"/>
      <c r="U7" s="6"/>
      <c r="X7" s="7" t="str">
        <f>RunName</f>
        <v>2027 Test Year Cost of Service Study (Holyrood 18.43%)</v>
      </c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6" t="s">
        <v>8</v>
      </c>
      <c r="B8" s="6"/>
      <c r="C8" s="6"/>
      <c r="D8" s="6"/>
      <c r="E8" s="6"/>
      <c r="F8" s="6"/>
      <c r="G8" s="6"/>
      <c r="H8" s="6"/>
      <c r="I8" s="6"/>
      <c r="M8" s="6" t="s">
        <v>8</v>
      </c>
      <c r="N8" s="6"/>
      <c r="O8" s="6"/>
      <c r="P8" s="6"/>
      <c r="Q8" s="6"/>
      <c r="R8" s="6"/>
      <c r="S8" s="6"/>
      <c r="T8" s="6"/>
      <c r="U8" s="6"/>
      <c r="X8" s="6" t="s">
        <v>8</v>
      </c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6" t="s">
        <v>9</v>
      </c>
      <c r="B9" s="6"/>
      <c r="C9" s="6"/>
      <c r="D9" s="6"/>
      <c r="E9" s="6"/>
      <c r="F9" s="6"/>
      <c r="G9" s="6"/>
      <c r="H9" s="6"/>
      <c r="I9" s="6"/>
      <c r="M9" s="6" t="s">
        <v>10</v>
      </c>
      <c r="N9" s="6"/>
      <c r="O9" s="6"/>
      <c r="P9" s="6"/>
      <c r="Q9" s="6"/>
      <c r="R9" s="6"/>
      <c r="S9" s="6"/>
      <c r="T9" s="6"/>
      <c r="U9" s="6"/>
      <c r="X9" s="6" t="s">
        <v>11</v>
      </c>
      <c r="Y9" s="6"/>
      <c r="Z9" s="6"/>
      <c r="AA9" s="6"/>
      <c r="AB9" s="6"/>
      <c r="AC9" s="6"/>
      <c r="AD9" s="6"/>
      <c r="AE9" s="6"/>
      <c r="AF9" s="6"/>
    </row>
    <row r="10" spans="1:32" x14ac:dyDescent="0.2">
      <c r="M10" s="1"/>
      <c r="X10" s="1"/>
    </row>
    <row r="11" spans="1:32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v>6</v>
      </c>
      <c r="I11" s="1">
        <f t="shared" si="0"/>
        <v>7</v>
      </c>
      <c r="N11" s="1">
        <f t="shared" ref="N11" si="1">MAX(M11)+NoOne</f>
        <v>1</v>
      </c>
      <c r="O11" s="1">
        <f t="shared" ref="O11" si="2">MAX(N11)+NoOne</f>
        <v>2</v>
      </c>
      <c r="P11" s="1">
        <f t="shared" ref="P11" si="3">MAX(O11)+NoOne</f>
        <v>3</v>
      </c>
      <c r="Q11" s="1">
        <f t="shared" ref="Q11" si="4">MAX(P11)+NoOne</f>
        <v>4</v>
      </c>
      <c r="Y11" s="1">
        <f t="shared" ref="Y11" si="5">MAX(X11)+NoOne</f>
        <v>1</v>
      </c>
    </row>
    <row r="12" spans="1:32" s="1" customFormat="1" x14ac:dyDescent="0.2"/>
    <row r="13" spans="1:32" x14ac:dyDescent="0.2">
      <c r="B13" s="1"/>
      <c r="C13" s="1"/>
      <c r="D13" s="8" t="s">
        <v>12</v>
      </c>
      <c r="E13" s="1"/>
      <c r="F13" s="1"/>
      <c r="H13" s="8" t="s">
        <v>13</v>
      </c>
      <c r="I13" s="1" t="s">
        <v>14</v>
      </c>
      <c r="N13" s="8" t="s">
        <v>13</v>
      </c>
      <c r="O13" s="9" t="s">
        <v>15</v>
      </c>
      <c r="P13" s="9"/>
      <c r="Y13" s="8" t="s">
        <v>16</v>
      </c>
      <c r="Z13" s="9"/>
      <c r="AA13" s="9"/>
    </row>
    <row r="14" spans="1:32" x14ac:dyDescent="0.2">
      <c r="A14" s="1" t="s">
        <v>17</v>
      </c>
      <c r="B14" s="1"/>
      <c r="C14" s="1"/>
      <c r="D14" s="1" t="s">
        <v>18</v>
      </c>
      <c r="E14" s="1" t="s">
        <v>14</v>
      </c>
      <c r="F14" s="1"/>
      <c r="G14" s="8" t="s">
        <v>19</v>
      </c>
      <c r="H14" s="8" t="s">
        <v>20</v>
      </c>
      <c r="I14" s="1" t="s">
        <v>21</v>
      </c>
      <c r="L14" s="1" t="s">
        <v>17</v>
      </c>
      <c r="M14" s="1"/>
      <c r="N14" s="8" t="s">
        <v>20</v>
      </c>
      <c r="O14" s="9" t="s">
        <v>22</v>
      </c>
      <c r="P14" s="9"/>
      <c r="Q14" s="1" t="s">
        <v>23</v>
      </c>
      <c r="W14" s="1" t="s">
        <v>17</v>
      </c>
      <c r="X14" s="1"/>
      <c r="Y14" s="8" t="s">
        <v>24</v>
      </c>
      <c r="Z14" s="9"/>
      <c r="AA14" s="9"/>
      <c r="AB14" s="1"/>
    </row>
    <row r="15" spans="1:32" x14ac:dyDescent="0.2">
      <c r="A15" s="1" t="s">
        <v>25</v>
      </c>
      <c r="B15" s="1" t="s">
        <v>26</v>
      </c>
      <c r="C15" s="1" t="s">
        <v>27</v>
      </c>
      <c r="D15" s="1" t="s">
        <v>28</v>
      </c>
      <c r="E15" s="8" t="s">
        <v>29</v>
      </c>
      <c r="F15" s="1" t="s">
        <v>30</v>
      </c>
      <c r="G15" s="1" t="s">
        <v>31</v>
      </c>
      <c r="H15" s="1" t="s">
        <v>28</v>
      </c>
      <c r="I15" s="1" t="s">
        <v>32</v>
      </c>
      <c r="J15" s="147" t="s">
        <v>13</v>
      </c>
      <c r="L15" s="1" t="s">
        <v>25</v>
      </c>
      <c r="M15" s="1" t="s">
        <v>26</v>
      </c>
      <c r="N15" s="1" t="s">
        <v>28</v>
      </c>
      <c r="O15" s="10" t="s">
        <v>33</v>
      </c>
      <c r="P15" s="10"/>
      <c r="Q15" s="1" t="s">
        <v>34</v>
      </c>
      <c r="W15" s="1" t="s">
        <v>25</v>
      </c>
      <c r="X15" s="1" t="s">
        <v>26</v>
      </c>
      <c r="Y15" s="1" t="s">
        <v>35</v>
      </c>
      <c r="Z15" s="1" t="s">
        <v>36</v>
      </c>
      <c r="AA15" s="10" t="s">
        <v>37</v>
      </c>
      <c r="AB15" s="1" t="s">
        <v>36</v>
      </c>
      <c r="AC15" s="10" t="s">
        <v>37</v>
      </c>
    </row>
    <row r="16" spans="1:32" x14ac:dyDescent="0.2">
      <c r="B16" s="1"/>
      <c r="C16" s="1"/>
      <c r="D16" s="1"/>
      <c r="E16" s="1"/>
      <c r="F16" s="1"/>
      <c r="H16" s="11" t="s">
        <v>38</v>
      </c>
      <c r="I16" s="1" t="s">
        <v>39</v>
      </c>
      <c r="J16" s="147" t="s">
        <v>214</v>
      </c>
      <c r="L16" s="1"/>
      <c r="M16" s="1"/>
      <c r="N16" s="11"/>
      <c r="W16" s="1"/>
      <c r="X16" s="1"/>
      <c r="Y16" s="11"/>
    </row>
    <row r="17" spans="1:30" ht="11.25" customHeight="1" x14ac:dyDescent="0.2">
      <c r="B17" s="1"/>
      <c r="C17" s="1" t="s">
        <v>40</v>
      </c>
      <c r="D17" s="1" t="s">
        <v>40</v>
      </c>
      <c r="E17" s="1" t="s">
        <v>40</v>
      </c>
      <c r="F17" s="1" t="s">
        <v>40</v>
      </c>
      <c r="G17" s="1" t="s">
        <v>40</v>
      </c>
      <c r="H17" s="1" t="s">
        <v>40</v>
      </c>
      <c r="I17" s="1"/>
      <c r="J17" s="147"/>
      <c r="L17" s="1"/>
      <c r="M17" s="1"/>
      <c r="N17" s="1" t="s">
        <v>40</v>
      </c>
      <c r="O17" s="1" t="s">
        <v>40</v>
      </c>
      <c r="P17" s="1" t="s">
        <v>40</v>
      </c>
      <c r="Q17" s="1" t="s">
        <v>40</v>
      </c>
      <c r="W17" s="1"/>
      <c r="X17" s="1"/>
      <c r="Y17" s="1" t="s">
        <v>40</v>
      </c>
      <c r="Z17" s="1" t="s">
        <v>40</v>
      </c>
      <c r="AA17" s="1" t="s">
        <v>40</v>
      </c>
      <c r="AB17" s="1" t="s">
        <v>41</v>
      </c>
      <c r="AC17" s="1" t="s">
        <v>41</v>
      </c>
    </row>
    <row r="18" spans="1:30" ht="18" customHeight="1" x14ac:dyDescent="0.2">
      <c r="J18" s="148"/>
      <c r="L18" s="1"/>
      <c r="W18" s="1"/>
    </row>
    <row r="19" spans="1:30" ht="15" x14ac:dyDescent="0.25">
      <c r="H19" s="12"/>
      <c r="J19" s="148"/>
      <c r="L19" s="1"/>
      <c r="O19" s="1"/>
      <c r="P19" s="1"/>
      <c r="W19" s="1">
        <v>1</v>
      </c>
      <c r="X19" s="2" t="s">
        <v>42</v>
      </c>
      <c r="Y19" s="14">
        <v>269134555.84989369</v>
      </c>
      <c r="Z19" s="14">
        <v>133794097.71196806</v>
      </c>
      <c r="AA19" s="14">
        <v>135340458.13792562</v>
      </c>
      <c r="AB19" s="15">
        <f>Z19/$Y19</f>
        <v>0.49712716113121491</v>
      </c>
      <c r="AC19" s="15">
        <f>AA19/$Y19</f>
        <v>0.50287283886878509</v>
      </c>
    </row>
    <row r="20" spans="1:30" ht="15" x14ac:dyDescent="0.25">
      <c r="B20" s="16" t="s">
        <v>8</v>
      </c>
      <c r="C20" s="13"/>
      <c r="D20" s="13"/>
      <c r="H20" s="17"/>
      <c r="I20" s="17"/>
      <c r="J20" s="149"/>
      <c r="L20" s="1"/>
      <c r="M20" s="16" t="s">
        <v>8</v>
      </c>
      <c r="W20" s="1">
        <v>2</v>
      </c>
      <c r="X20" s="2" t="s">
        <v>43</v>
      </c>
      <c r="Y20" s="14">
        <v>-40178593</v>
      </c>
      <c r="Z20" s="14">
        <v>-19973869.876336504</v>
      </c>
      <c r="AA20" s="14">
        <v>-20204723.123663496</v>
      </c>
      <c r="AB20" s="15">
        <f t="shared" ref="AB20:AC22" si="6">Z20/$Y20</f>
        <v>0.49712716113121491</v>
      </c>
      <c r="AC20" s="15">
        <f t="shared" si="6"/>
        <v>0.50287283886878509</v>
      </c>
    </row>
    <row r="21" spans="1:30" ht="15" x14ac:dyDescent="0.25">
      <c r="A21" s="1">
        <v>1</v>
      </c>
      <c r="B21" s="2" t="s">
        <v>44</v>
      </c>
      <c r="C21" s="13">
        <f>C66</f>
        <v>636811717.27999985</v>
      </c>
      <c r="D21" s="13">
        <f>D66</f>
        <v>574010053.72714305</v>
      </c>
      <c r="E21" s="13">
        <f t="shared" ref="D21:G22" si="7">E66</f>
        <v>0</v>
      </c>
      <c r="F21" s="13">
        <f t="shared" si="7"/>
        <v>62805746.098321363</v>
      </c>
      <c r="G21" s="14">
        <f t="shared" si="7"/>
        <v>0</v>
      </c>
      <c r="H21" s="13">
        <f>SUM(D21:G21)</f>
        <v>636815799.82546437</v>
      </c>
      <c r="I21" s="13"/>
      <c r="J21" s="148">
        <f>H21-'iii) Schedule F 1.2 Filed'!H21</f>
        <v>-1.6100782155990601</v>
      </c>
      <c r="K21" s="13"/>
      <c r="L21" s="1">
        <v>1</v>
      </c>
      <c r="M21" s="2" t="s">
        <v>44</v>
      </c>
      <c r="N21" s="18">
        <f>H21</f>
        <v>636815799.82546437</v>
      </c>
      <c r="O21" s="18">
        <v>-435388531.77908343</v>
      </c>
      <c r="P21" s="18"/>
      <c r="Q21" s="18">
        <f>SUM(N21:P21)</f>
        <v>201427268.04638094</v>
      </c>
      <c r="R21" s="1"/>
      <c r="W21" s="1">
        <v>3</v>
      </c>
      <c r="X21" s="2" t="s">
        <v>45</v>
      </c>
      <c r="Y21" s="14">
        <v>46146683.150106318</v>
      </c>
      <c r="Z21" s="14">
        <v>22940769.590034023</v>
      </c>
      <c r="AA21" s="14">
        <v>23205913.560072295</v>
      </c>
      <c r="AB21" s="15">
        <f t="shared" si="6"/>
        <v>0.49712716113121491</v>
      </c>
      <c r="AC21" s="15">
        <f t="shared" si="6"/>
        <v>0.50287283886878509</v>
      </c>
    </row>
    <row r="22" spans="1:30" ht="15" x14ac:dyDescent="0.25">
      <c r="A22" s="1">
        <v>2</v>
      </c>
      <c r="B22" s="19" t="s">
        <v>46</v>
      </c>
      <c r="C22" s="13">
        <f>C67</f>
        <v>0</v>
      </c>
      <c r="D22" s="13">
        <f t="shared" si="7"/>
        <v>0</v>
      </c>
      <c r="E22" s="13">
        <f t="shared" si="7"/>
        <v>0</v>
      </c>
      <c r="F22" s="13">
        <f t="shared" si="7"/>
        <v>0</v>
      </c>
      <c r="G22" s="13">
        <f t="shared" si="7"/>
        <v>0</v>
      </c>
      <c r="H22" s="20">
        <f>SUM(D22:G22)</f>
        <v>0</v>
      </c>
      <c r="I22" s="17"/>
      <c r="J22" s="150">
        <f>H22-'iii) Schedule F 1.2 Filed'!H22</f>
        <v>0</v>
      </c>
      <c r="L22" s="1">
        <v>2</v>
      </c>
      <c r="M22" s="19" t="s">
        <v>47</v>
      </c>
      <c r="O22" s="18">
        <v>-32092957.468439061</v>
      </c>
      <c r="Q22" s="18">
        <f>SUM(N22:P22)</f>
        <v>-32092957.468439061</v>
      </c>
      <c r="W22" s="1">
        <v>4</v>
      </c>
      <c r="X22" s="2" t="s">
        <v>48</v>
      </c>
      <c r="Y22" s="14">
        <v>465082406</v>
      </c>
      <c r="Z22" s="14">
        <v>231205096.18685511</v>
      </c>
      <c r="AA22" s="14">
        <v>233877309.81314489</v>
      </c>
      <c r="AB22" s="15">
        <f t="shared" si="6"/>
        <v>0.49712716113121491</v>
      </c>
      <c r="AC22" s="15">
        <f t="shared" si="6"/>
        <v>0.50287283886878509</v>
      </c>
    </row>
    <row r="23" spans="1:30" ht="18" customHeight="1" thickBot="1" x14ac:dyDescent="0.25">
      <c r="A23" s="1">
        <v>3</v>
      </c>
      <c r="B23" s="19" t="s">
        <v>49</v>
      </c>
      <c r="C23" s="21">
        <f t="shared" ref="C23:H23" si="8">SUM(C21:C22)</f>
        <v>636811717.27999985</v>
      </c>
      <c r="D23" s="21">
        <f t="shared" si="8"/>
        <v>574010053.72714305</v>
      </c>
      <c r="E23" s="21">
        <f t="shared" si="8"/>
        <v>0</v>
      </c>
      <c r="F23" s="21">
        <f t="shared" si="8"/>
        <v>62805746.098321363</v>
      </c>
      <c r="G23" s="21">
        <f t="shared" si="8"/>
        <v>0</v>
      </c>
      <c r="H23" s="21">
        <f t="shared" si="8"/>
        <v>636815799.82546437</v>
      </c>
      <c r="I23" s="22">
        <f>IF(D23&lt;&gt;0,C23/D23,0)</f>
        <v>1.1094086473661482</v>
      </c>
      <c r="J23" s="155">
        <f>H23-'iii) Schedule F 1.2 Filed'!H23</f>
        <v>-1.6100782155990601</v>
      </c>
      <c r="K23" s="13"/>
      <c r="L23" s="1">
        <v>3</v>
      </c>
      <c r="M23" s="19" t="s">
        <v>49</v>
      </c>
      <c r="N23" s="21">
        <f t="shared" ref="N23:Q23" si="9">SUM(N21:N22)</f>
        <v>636815799.82546437</v>
      </c>
      <c r="O23" s="21">
        <f t="shared" si="9"/>
        <v>-467481489.24752247</v>
      </c>
      <c r="P23" s="21">
        <f t="shared" si="9"/>
        <v>0</v>
      </c>
      <c r="Q23" s="21">
        <f t="shared" si="9"/>
        <v>169334310.57794186</v>
      </c>
      <c r="W23" s="1">
        <v>5</v>
      </c>
      <c r="X23" s="2" t="s">
        <v>50</v>
      </c>
      <c r="Y23" s="21">
        <f>SUM(Y19:Y22)</f>
        <v>740185052</v>
      </c>
      <c r="Z23" s="21">
        <f t="shared" ref="Z23:AA23" si="10">SUM(Z19:Z22)</f>
        <v>367966093.61252069</v>
      </c>
      <c r="AA23" s="21">
        <f t="shared" si="10"/>
        <v>372218958.38747931</v>
      </c>
    </row>
    <row r="24" spans="1:30" x14ac:dyDescent="0.2">
      <c r="B24" s="23"/>
      <c r="C24" s="13"/>
      <c r="D24" s="13"/>
      <c r="E24" s="13"/>
      <c r="F24" s="13"/>
      <c r="H24" s="20"/>
      <c r="I24" s="17"/>
      <c r="J24" s="150">
        <f>H24-'iii) Schedule F 1.2 Filed'!H24</f>
        <v>0</v>
      </c>
      <c r="K24" s="13"/>
      <c r="L24" s="1"/>
      <c r="M24" s="23"/>
    </row>
    <row r="25" spans="1:30" x14ac:dyDescent="0.2">
      <c r="A25" s="1">
        <v>4</v>
      </c>
      <c r="B25" s="2" t="s">
        <v>51</v>
      </c>
      <c r="C25" s="13">
        <f>C73</f>
        <v>43039766.840000004</v>
      </c>
      <c r="D25" s="13">
        <f>D73</f>
        <v>43043363.427025817</v>
      </c>
      <c r="E25" s="13">
        <f>E73</f>
        <v>0</v>
      </c>
      <c r="F25" s="13">
        <v>0</v>
      </c>
      <c r="H25" s="13">
        <f>H73</f>
        <v>43043363.427025817</v>
      </c>
      <c r="I25" s="17">
        <f>IF(D25&lt;&gt;0,C25/D25,0)</f>
        <v>0.99991644270476421</v>
      </c>
      <c r="J25" s="148">
        <f>H25-'iii) Schedule F 1.2 Filed'!H25</f>
        <v>227815.54398804903</v>
      </c>
      <c r="K25" s="13"/>
      <c r="L25" s="1">
        <v>4</v>
      </c>
      <c r="M25" s="2" t="s">
        <v>51</v>
      </c>
      <c r="N25" s="13">
        <f>H25</f>
        <v>43043363.427025817</v>
      </c>
      <c r="O25" s="18">
        <v>-34253636.136550494</v>
      </c>
      <c r="Q25" s="18">
        <f>SUM(N25:P25)</f>
        <v>8789727.2904753238</v>
      </c>
      <c r="X25" s="2" t="s">
        <v>213</v>
      </c>
    </row>
    <row r="26" spans="1:30" x14ac:dyDescent="0.2">
      <c r="A26" s="1">
        <v>5</v>
      </c>
      <c r="B26" s="2" t="s">
        <v>52</v>
      </c>
      <c r="C26" s="13">
        <f>+C75</f>
        <v>0</v>
      </c>
      <c r="D26" s="13">
        <f>+D75</f>
        <v>0</v>
      </c>
      <c r="E26" s="13">
        <f>+E75</f>
        <v>0</v>
      </c>
      <c r="F26" s="13">
        <f>+F75</f>
        <v>0</v>
      </c>
      <c r="H26" s="13">
        <f>+H75</f>
        <v>0</v>
      </c>
      <c r="I26" s="17">
        <f>IF(D26&lt;&gt;0,C26/D26,0)</f>
        <v>0</v>
      </c>
      <c r="J26" s="150">
        <f>H26-'iii) Schedule F 1.2 Filed'!H26</f>
        <v>0</v>
      </c>
      <c r="K26" s="13"/>
      <c r="L26" s="1"/>
      <c r="N26" s="13"/>
    </row>
    <row r="27" spans="1:30" x14ac:dyDescent="0.2">
      <c r="A27" s="1">
        <v>6</v>
      </c>
      <c r="B27" s="2" t="s">
        <v>53</v>
      </c>
      <c r="C27" s="13">
        <f>+C223</f>
        <v>9171997.7694181111</v>
      </c>
      <c r="D27" s="13">
        <f>+D223</f>
        <v>9172199.8960632775</v>
      </c>
      <c r="E27" s="13">
        <f>+E223</f>
        <v>0</v>
      </c>
      <c r="F27" s="13">
        <v>0</v>
      </c>
      <c r="H27" s="20">
        <f>SUM(D27:F27)</f>
        <v>9172199.8960632775</v>
      </c>
      <c r="I27" s="17">
        <f>IF(D27&lt;&gt;0,C27/D27,0)</f>
        <v>0.99997796312253806</v>
      </c>
      <c r="J27" s="150">
        <f>H27-'iii) Schedule F 1.2 Filed'!H27</f>
        <v>0</v>
      </c>
      <c r="K27" s="13"/>
      <c r="L27" s="1">
        <v>5</v>
      </c>
      <c r="M27" s="2" t="s">
        <v>53</v>
      </c>
      <c r="N27" s="13">
        <f t="shared" ref="N27:N29" si="11">H27</f>
        <v>9172199.8960632775</v>
      </c>
      <c r="Q27" s="18">
        <f>SUM(N27:P27)</f>
        <v>9172199.8960632775</v>
      </c>
    </row>
    <row r="28" spans="1:30" x14ac:dyDescent="0.2">
      <c r="A28" s="1">
        <v>7</v>
      </c>
      <c r="B28" s="2" t="s">
        <v>54</v>
      </c>
      <c r="C28" s="13">
        <f>+C225</f>
        <v>0</v>
      </c>
      <c r="D28" s="13">
        <f>+D225</f>
        <v>0</v>
      </c>
      <c r="E28" s="13">
        <f>+E225</f>
        <v>0</v>
      </c>
      <c r="F28" s="13">
        <v>0</v>
      </c>
      <c r="H28" s="20">
        <f>+C28</f>
        <v>0</v>
      </c>
      <c r="I28" s="17">
        <f>IF(D28&lt;&gt;0,C28/D28,0)</f>
        <v>0</v>
      </c>
      <c r="J28" s="150">
        <f>H28-'iii) Schedule F 1.2 Filed'!H28</f>
        <v>0</v>
      </c>
      <c r="K28" s="13"/>
      <c r="L28" s="1">
        <v>6</v>
      </c>
      <c r="M28" s="2" t="s">
        <v>54</v>
      </c>
      <c r="N28" s="13">
        <f t="shared" si="11"/>
        <v>0</v>
      </c>
      <c r="Q28" s="18">
        <f t="shared" ref="Q28:Q29" si="12">SUM(N28:P28)</f>
        <v>0</v>
      </c>
      <c r="AD28" s="1" t="s">
        <v>55</v>
      </c>
    </row>
    <row r="29" spans="1:30" x14ac:dyDescent="0.2">
      <c r="A29" s="1">
        <v>8</v>
      </c>
      <c r="B29" s="2" t="s">
        <v>56</v>
      </c>
      <c r="C29" s="13">
        <f>C236</f>
        <v>22231035.759315588</v>
      </c>
      <c r="D29" s="13">
        <f>D236</f>
        <v>20039019.906508639</v>
      </c>
      <c r="E29" s="13">
        <f>E236</f>
        <v>0</v>
      </c>
      <c r="F29" s="13">
        <f>C324</f>
        <v>2192584.5865160595</v>
      </c>
      <c r="H29" s="20">
        <f>SUM(D29:F29)</f>
        <v>22231604.493024699</v>
      </c>
      <c r="I29" s="17">
        <f>IF(D29&lt;&gt;0,C29/D29,0)</f>
        <v>1.1093873783764736</v>
      </c>
      <c r="J29" s="148">
        <f>H29-'iii) Schedule F 1.2 Filed'!H29</f>
        <v>1044.0660898908973</v>
      </c>
      <c r="K29" s="13"/>
      <c r="L29" s="1">
        <v>7</v>
      </c>
      <c r="M29" s="2" t="s">
        <v>56</v>
      </c>
      <c r="N29" s="13">
        <f t="shared" si="11"/>
        <v>22231604.493024699</v>
      </c>
      <c r="Q29" s="18">
        <f t="shared" si="12"/>
        <v>22231604.493024699</v>
      </c>
      <c r="Y29" s="8" t="s">
        <v>16</v>
      </c>
      <c r="Z29" s="1" t="s">
        <v>57</v>
      </c>
      <c r="AA29" s="1" t="s">
        <v>57</v>
      </c>
      <c r="AB29" s="1" t="s">
        <v>57</v>
      </c>
      <c r="AC29" s="1" t="s">
        <v>57</v>
      </c>
      <c r="AD29" s="8" t="s">
        <v>58</v>
      </c>
    </row>
    <row r="30" spans="1:30" x14ac:dyDescent="0.2">
      <c r="C30" s="13"/>
      <c r="D30" s="13"/>
      <c r="E30" s="13"/>
      <c r="F30" s="13"/>
      <c r="H30" s="13"/>
      <c r="I30" s="17"/>
      <c r="J30" s="150">
        <f>H30-'iii) Schedule F 1.2 Filed'!H30</f>
        <v>0</v>
      </c>
      <c r="K30" s="13"/>
      <c r="L30" s="1"/>
      <c r="Y30" s="8" t="s">
        <v>24</v>
      </c>
      <c r="Z30" s="1" t="s">
        <v>36</v>
      </c>
      <c r="AA30" s="1" t="s">
        <v>36</v>
      </c>
      <c r="AB30" s="1" t="s">
        <v>37</v>
      </c>
      <c r="AC30" s="1" t="s">
        <v>37</v>
      </c>
      <c r="AD30" s="8" t="s">
        <v>59</v>
      </c>
    </row>
    <row r="31" spans="1:30" x14ac:dyDescent="0.2">
      <c r="B31" s="24" t="s">
        <v>60</v>
      </c>
      <c r="C31" s="25"/>
      <c r="D31" s="25"/>
      <c r="E31" s="25"/>
      <c r="F31" s="25"/>
      <c r="H31" s="20"/>
      <c r="I31" s="17"/>
      <c r="J31" s="150">
        <f>H31-'iii) Schedule F 1.2 Filed'!H31</f>
        <v>0</v>
      </c>
      <c r="K31" s="13"/>
      <c r="L31" s="1"/>
      <c r="M31" s="24" t="s">
        <v>60</v>
      </c>
      <c r="Y31" s="1" t="s">
        <v>35</v>
      </c>
      <c r="Z31" s="1" t="s">
        <v>61</v>
      </c>
      <c r="AB31" s="1" t="s">
        <v>62</v>
      </c>
      <c r="AD31" s="1" t="s">
        <v>35</v>
      </c>
    </row>
    <row r="32" spans="1:30" x14ac:dyDescent="0.2">
      <c r="A32" s="1">
        <v>9</v>
      </c>
      <c r="B32" s="2" t="s">
        <v>63</v>
      </c>
      <c r="C32" s="13">
        <f>C87</f>
        <v>68909057.952898145</v>
      </c>
      <c r="D32" s="13">
        <f>D87</f>
        <v>87343431.705883175</v>
      </c>
      <c r="E32" s="13">
        <f>E87</f>
        <v>0</v>
      </c>
      <c r="F32" s="20">
        <f>C32-D32-E32</f>
        <v>-18434373.75298503</v>
      </c>
      <c r="H32" s="20">
        <f>SUM(D32:F32)</f>
        <v>68909057.952898145</v>
      </c>
      <c r="I32" s="17">
        <f>IF(D32&lt;&gt;0,C32/D32,0)</f>
        <v>0.78894378898392481</v>
      </c>
      <c r="J32" s="150">
        <f>H32-'iii) Schedule F 1.2 Filed'!H32</f>
        <v>0</v>
      </c>
      <c r="K32" s="13"/>
      <c r="L32" s="1">
        <v>8</v>
      </c>
      <c r="M32" s="2" t="s">
        <v>63</v>
      </c>
      <c r="N32" s="13">
        <f t="shared" ref="N32:N36" si="13">H32</f>
        <v>68909057.952898145</v>
      </c>
      <c r="Q32" s="18">
        <f t="shared" ref="Q32:Q36" si="14">SUM(N32:P32)</f>
        <v>68909057.952898145</v>
      </c>
      <c r="W32" s="1"/>
      <c r="Y32" s="1" t="s">
        <v>40</v>
      </c>
      <c r="Z32" s="1" t="s">
        <v>41</v>
      </c>
      <c r="AA32" s="1" t="s">
        <v>40</v>
      </c>
      <c r="AB32" s="1" t="s">
        <v>41</v>
      </c>
      <c r="AC32" s="1" t="s">
        <v>40</v>
      </c>
      <c r="AD32" s="1" t="s">
        <v>41</v>
      </c>
    </row>
    <row r="33" spans="1:30" x14ac:dyDescent="0.2">
      <c r="A33" s="1">
        <v>10</v>
      </c>
      <c r="B33" s="2" t="s">
        <v>64</v>
      </c>
      <c r="C33" s="13">
        <f>C128</f>
        <v>1717948.9398972169</v>
      </c>
      <c r="D33" s="13">
        <f>D128</f>
        <v>10404401.507694557</v>
      </c>
      <c r="E33" s="13">
        <f>E128</f>
        <v>0</v>
      </c>
      <c r="F33" s="20">
        <f>C33-D33-E33</f>
        <v>-8686452.5677973405</v>
      </c>
      <c r="H33" s="20">
        <f>SUM(D33:F33)</f>
        <v>1717948.9398972169</v>
      </c>
      <c r="I33" s="17">
        <f>IF(D33&lt;&gt;0,C33/D33,0)</f>
        <v>0.16511751671893002</v>
      </c>
      <c r="J33" s="150">
        <f>H33-'iii) Schedule F 1.2 Filed'!H33</f>
        <v>0</v>
      </c>
      <c r="K33" s="13"/>
      <c r="L33" s="1">
        <v>9</v>
      </c>
      <c r="M33" s="2" t="s">
        <v>64</v>
      </c>
      <c r="N33" s="13">
        <f t="shared" si="13"/>
        <v>1717948.9398972169</v>
      </c>
      <c r="Q33" s="18">
        <f t="shared" si="14"/>
        <v>1717948.9398972169</v>
      </c>
      <c r="W33" s="1"/>
      <c r="X33" s="16" t="s">
        <v>8</v>
      </c>
    </row>
    <row r="34" spans="1:30" ht="16.5" x14ac:dyDescent="0.3">
      <c r="A34" s="1">
        <v>11</v>
      </c>
      <c r="B34" s="2" t="s">
        <v>65</v>
      </c>
      <c r="C34" s="13">
        <f>C166</f>
        <v>11969343.183470888</v>
      </c>
      <c r="D34" s="13">
        <f>D166</f>
        <v>44165488.189015225</v>
      </c>
      <c r="E34" s="13">
        <f>E166</f>
        <v>0</v>
      </c>
      <c r="F34" s="20">
        <f>C34-D34-E34</f>
        <v>-32196145.005544335</v>
      </c>
      <c r="H34" s="20">
        <f>SUM(D34:F34)</f>
        <v>11969343.18347089</v>
      </c>
      <c r="I34" s="17">
        <f>IF(D34&lt;&gt;0,C34/D34,0)</f>
        <v>0.27101122786746157</v>
      </c>
      <c r="J34" s="150">
        <f>H34-'iii) Schedule F 1.2 Filed'!H34</f>
        <v>0</v>
      </c>
      <c r="K34" s="13"/>
      <c r="L34" s="1">
        <v>10</v>
      </c>
      <c r="M34" s="2" t="s">
        <v>65</v>
      </c>
      <c r="N34" s="13">
        <f t="shared" si="13"/>
        <v>11969343.18347089</v>
      </c>
      <c r="Q34" s="18">
        <f t="shared" si="14"/>
        <v>11969343.18347089</v>
      </c>
      <c r="W34" s="1">
        <v>1</v>
      </c>
      <c r="X34" s="2" t="s">
        <v>44</v>
      </c>
      <c r="Y34" s="14">
        <f>SUM(AA34,AC34)</f>
        <v>642307199.01942611</v>
      </c>
      <c r="Z34" s="27">
        <v>0.88738604118773867</v>
      </c>
      <c r="AA34" s="14">
        <f>AA$44*Z34</f>
        <v>326527975.10213161</v>
      </c>
      <c r="AB34" s="27">
        <v>0.8483695330439589</v>
      </c>
      <c r="AC34" s="14">
        <f>AC$44*AB34</f>
        <v>315779223.91729456</v>
      </c>
      <c r="AD34" s="27">
        <f>Y34/Y$44</f>
        <v>0.8677656989747291</v>
      </c>
    </row>
    <row r="35" spans="1:30" ht="16.5" x14ac:dyDescent="0.3">
      <c r="A35" s="1">
        <v>12</v>
      </c>
      <c r="B35" s="2" t="s">
        <v>66</v>
      </c>
      <c r="C35" s="13">
        <f>C198</f>
        <v>4077136.5066004382</v>
      </c>
      <c r="D35" s="13">
        <f>D198</f>
        <v>9758495.865111161</v>
      </c>
      <c r="E35" s="13">
        <f>E198</f>
        <v>0</v>
      </c>
      <c r="F35" s="20">
        <f>C35-D35-E35</f>
        <v>-5681359.3585107233</v>
      </c>
      <c r="H35" s="28">
        <f>SUM(D35:F35)</f>
        <v>4077136.5066004377</v>
      </c>
      <c r="I35" s="17">
        <f>IF(D35&lt;&gt;0,C35/D35,0)</f>
        <v>0.41780378482068403</v>
      </c>
      <c r="J35" s="150">
        <f>H35-'iii) Schedule F 1.2 Filed'!H35</f>
        <v>0</v>
      </c>
      <c r="K35" s="13"/>
      <c r="L35" s="1">
        <v>11</v>
      </c>
      <c r="M35" s="2" t="s">
        <v>66</v>
      </c>
      <c r="N35" s="13">
        <f t="shared" si="13"/>
        <v>4077136.5066004377</v>
      </c>
      <c r="Q35" s="18">
        <f t="shared" si="14"/>
        <v>4077136.5066004377</v>
      </c>
      <c r="W35" s="1">
        <v>2</v>
      </c>
      <c r="X35" s="19" t="s">
        <v>47</v>
      </c>
      <c r="Y35" s="14">
        <f>SUM(AA35,AC35)</f>
        <v>47345155.223936856</v>
      </c>
      <c r="Z35" s="27">
        <v>6.2801465870849699E-2</v>
      </c>
      <c r="AA35" s="14">
        <f>AA$44*Z35</f>
        <v>23108810.069636602</v>
      </c>
      <c r="AB35" s="27">
        <v>6.5113140016555132E-2</v>
      </c>
      <c r="AC35" s="14">
        <f>AC$44*AB35</f>
        <v>24236345.15430025</v>
      </c>
      <c r="AD35" s="27">
        <f>Y35/Y$44</f>
        <v>6.3963944011040177E-2</v>
      </c>
    </row>
    <row r="36" spans="1:30" x14ac:dyDescent="0.2">
      <c r="A36" s="1">
        <v>13</v>
      </c>
      <c r="B36" s="2" t="s">
        <v>67</v>
      </c>
      <c r="C36" s="13">
        <v>0</v>
      </c>
      <c r="D36" s="13">
        <v>0</v>
      </c>
      <c r="E36" s="13">
        <f>-E225</f>
        <v>0</v>
      </c>
      <c r="F36" s="20">
        <f>C36-D36-E36</f>
        <v>0</v>
      </c>
      <c r="H36" s="28">
        <f>SUM(D36:F36)</f>
        <v>0</v>
      </c>
      <c r="I36" s="17">
        <f>IF(D36&lt;&gt;0,C36/D36,0)</f>
        <v>0</v>
      </c>
      <c r="J36" s="150">
        <f>H36-'iii) Schedule F 1.2 Filed'!H36</f>
        <v>0</v>
      </c>
      <c r="K36" s="13"/>
      <c r="L36" s="1">
        <v>12</v>
      </c>
      <c r="M36" s="2" t="s">
        <v>67</v>
      </c>
      <c r="N36" s="13">
        <f t="shared" si="13"/>
        <v>0</v>
      </c>
      <c r="Q36" s="18">
        <f t="shared" si="14"/>
        <v>0</v>
      </c>
      <c r="W36" s="1">
        <v>3</v>
      </c>
      <c r="X36" s="19" t="s">
        <v>49</v>
      </c>
      <c r="Y36" s="21">
        <f t="shared" ref="Y36:AD36" si="15">SUM(Y34:Y35)</f>
        <v>689652354.2433629</v>
      </c>
      <c r="Z36" s="29">
        <f t="shared" si="15"/>
        <v>0.95018750705858834</v>
      </c>
      <c r="AA36" s="21">
        <f t="shared" si="15"/>
        <v>349636785.17176819</v>
      </c>
      <c r="AB36" s="29">
        <f t="shared" si="15"/>
        <v>0.91348267306051401</v>
      </c>
      <c r="AC36" s="21">
        <f t="shared" si="15"/>
        <v>340015569.07159483</v>
      </c>
      <c r="AD36" s="29">
        <f t="shared" si="15"/>
        <v>0.93172964298576932</v>
      </c>
    </row>
    <row r="37" spans="1:30" x14ac:dyDescent="0.2">
      <c r="C37" s="13"/>
      <c r="D37" s="13"/>
      <c r="E37" s="13"/>
      <c r="F37" s="28"/>
      <c r="H37" s="28"/>
      <c r="I37" s="30"/>
      <c r="J37" s="151">
        <f>H37-'iii) Schedule F 1.2 Filed'!H37</f>
        <v>0</v>
      </c>
      <c r="K37" s="13"/>
      <c r="L37" s="1"/>
      <c r="W37" s="1"/>
      <c r="X37" s="23"/>
      <c r="Z37" s="1"/>
      <c r="AB37" s="1"/>
    </row>
    <row r="38" spans="1:30" ht="16.5" x14ac:dyDescent="0.3">
      <c r="A38" s="1">
        <v>14</v>
      </c>
      <c r="B38" s="16" t="s">
        <v>68</v>
      </c>
      <c r="C38" s="31">
        <f t="shared" ref="C38:H38" si="16">SUM(C32:C36)</f>
        <v>86673486.582866684</v>
      </c>
      <c r="D38" s="31">
        <f t="shared" si="16"/>
        <v>151671817.26770413</v>
      </c>
      <c r="E38" s="31">
        <f t="shared" si="16"/>
        <v>0</v>
      </c>
      <c r="F38" s="31">
        <f t="shared" si="16"/>
        <v>-64998330.684837431</v>
      </c>
      <c r="G38" s="31">
        <f t="shared" si="16"/>
        <v>0</v>
      </c>
      <c r="H38" s="31">
        <f t="shared" si="16"/>
        <v>86673486.582866684</v>
      </c>
      <c r="I38" s="32">
        <f>IF(D38&lt;&gt;0,C38/D38,0)</f>
        <v>0.57145413132280243</v>
      </c>
      <c r="J38" s="152">
        <f>H38-'iii) Schedule F 1.2 Filed'!H38</f>
        <v>0</v>
      </c>
      <c r="K38" s="13"/>
      <c r="L38" s="1">
        <v>13</v>
      </c>
      <c r="M38" s="16" t="s">
        <v>68</v>
      </c>
      <c r="N38" s="31">
        <f t="shared" ref="N38:Q38" si="17">SUM(N32:N36)</f>
        <v>86673486.582866684</v>
      </c>
      <c r="O38" s="31">
        <f t="shared" si="17"/>
        <v>0</v>
      </c>
      <c r="P38" s="31">
        <f t="shared" si="17"/>
        <v>0</v>
      </c>
      <c r="Q38" s="31">
        <f t="shared" si="17"/>
        <v>86673486.582866684</v>
      </c>
      <c r="W38" s="1">
        <v>4</v>
      </c>
      <c r="X38" s="2" t="s">
        <v>51</v>
      </c>
      <c r="Y38" s="14">
        <f>SUM(AA38,AC38)</f>
        <v>50532697.756636947</v>
      </c>
      <c r="Z38" s="27">
        <v>4.9812492941411594E-2</v>
      </c>
      <c r="AA38" s="14">
        <f>AA$44*Z38</f>
        <v>18329308.440752484</v>
      </c>
      <c r="AB38" s="27">
        <v>8.6517326939485953E-2</v>
      </c>
      <c r="AC38" s="14">
        <f>AC$44*AB38</f>
        <v>32203389.315884463</v>
      </c>
      <c r="AD38" s="27">
        <f>Y38/Y$44</f>
        <v>6.8270357014230759E-2</v>
      </c>
    </row>
    <row r="39" spans="1:30" x14ac:dyDescent="0.2">
      <c r="C39" s="20"/>
      <c r="D39" s="20"/>
      <c r="E39" s="20"/>
      <c r="F39" s="20"/>
      <c r="H39" s="20"/>
      <c r="I39" s="33"/>
      <c r="J39" s="153">
        <f>H39-'iii) Schedule F 1.2 Filed'!H39</f>
        <v>0</v>
      </c>
      <c r="K39" s="13"/>
      <c r="L39" s="1"/>
      <c r="W39" s="1"/>
      <c r="AD39" s="13"/>
    </row>
    <row r="40" spans="1:30" ht="13.5" thickBot="1" x14ac:dyDescent="0.25">
      <c r="A40" s="1">
        <v>15</v>
      </c>
      <c r="B40" s="16" t="s">
        <v>69</v>
      </c>
      <c r="C40" s="34">
        <f t="shared" ref="C40:H40" si="18">SUM(C23:C29,C38)</f>
        <v>797928004.23160028</v>
      </c>
      <c r="D40" s="34">
        <f t="shared" si="18"/>
        <v>797936454.22444499</v>
      </c>
      <c r="E40" s="34">
        <f t="shared" si="18"/>
        <v>0</v>
      </c>
      <c r="F40" s="34">
        <f t="shared" si="18"/>
        <v>0</v>
      </c>
      <c r="G40" s="34">
        <f t="shared" si="18"/>
        <v>0</v>
      </c>
      <c r="H40" s="34">
        <f t="shared" si="18"/>
        <v>797936454.22444487</v>
      </c>
      <c r="I40" s="35">
        <f>IF(D40&lt;&gt;0,C40/D40,0)</f>
        <v>0.99998941019325538</v>
      </c>
      <c r="J40" s="154">
        <f>H40-'iii) Schedule F 1.2 Filed'!H40</f>
        <v>228857.99999964237</v>
      </c>
      <c r="K40" s="13"/>
      <c r="L40" s="1">
        <v>14</v>
      </c>
      <c r="M40" s="16" t="s">
        <v>69</v>
      </c>
      <c r="N40" s="34">
        <f t="shared" ref="N40:Q40" si="19">SUM(N23:N29,N38)</f>
        <v>797936454.22444487</v>
      </c>
      <c r="O40" s="34">
        <f t="shared" si="19"/>
        <v>-501735125.38407296</v>
      </c>
      <c r="P40" s="34">
        <f t="shared" si="19"/>
        <v>0</v>
      </c>
      <c r="Q40" s="34">
        <f t="shared" si="19"/>
        <v>296201328.84037185</v>
      </c>
      <c r="W40" s="1">
        <v>5</v>
      </c>
      <c r="X40" s="2" t="s">
        <v>53</v>
      </c>
      <c r="AD40" s="13"/>
    </row>
    <row r="41" spans="1:30" ht="13.5" thickTop="1" x14ac:dyDescent="0.2">
      <c r="C41" s="36"/>
      <c r="D41" s="13"/>
      <c r="H41" s="13"/>
      <c r="I41" s="17"/>
      <c r="L41" s="1"/>
      <c r="W41" s="1">
        <v>6</v>
      </c>
      <c r="X41" s="2" t="s">
        <v>54</v>
      </c>
      <c r="AD41" s="13"/>
    </row>
    <row r="42" spans="1:30" ht="14.25" x14ac:dyDescent="0.2">
      <c r="A42" s="37"/>
      <c r="B42" s="33"/>
      <c r="C42" s="36"/>
      <c r="D42" s="36"/>
      <c r="H42" s="13"/>
      <c r="I42" s="17"/>
      <c r="L42" s="37">
        <v>1</v>
      </c>
      <c r="M42" s="2" t="str">
        <f>"The $"&amp;TEXT(ABS(O22),"0,000")&amp;" represents the Island Interconnected Rural rate mitigation allocation."</f>
        <v>The $32,092,957 represents the Island Interconnected Rural rate mitigation allocation.</v>
      </c>
      <c r="W42" s="1">
        <v>7</v>
      </c>
      <c r="X42" s="2" t="s">
        <v>56</v>
      </c>
      <c r="AD42" s="13"/>
    </row>
    <row r="43" spans="1:30" x14ac:dyDescent="0.2">
      <c r="B43" s="19"/>
      <c r="C43" s="38"/>
      <c r="D43" s="38"/>
      <c r="E43" s="39"/>
      <c r="H43" s="13"/>
      <c r="W43" s="1"/>
    </row>
    <row r="44" spans="1:30" ht="13.5" thickBot="1" x14ac:dyDescent="0.25">
      <c r="C44" s="13"/>
      <c r="D44" s="13"/>
      <c r="E44" s="38"/>
      <c r="H44" s="13"/>
      <c r="W44" s="1">
        <v>8</v>
      </c>
      <c r="X44" s="16" t="s">
        <v>69</v>
      </c>
      <c r="Y44" s="34">
        <f>SUM(Y36:Y38)</f>
        <v>740185051.99999988</v>
      </c>
      <c r="Z44" s="40">
        <f>SUM(Z36:Z42)</f>
        <v>0.99999999999999989</v>
      </c>
      <c r="AA44" s="34">
        <f>Z23</f>
        <v>367966093.61252069</v>
      </c>
      <c r="AB44" s="40">
        <f>SUM(AB36:AB42)</f>
        <v>1</v>
      </c>
      <c r="AC44" s="34">
        <f>AA23</f>
        <v>372218958.38747931</v>
      </c>
      <c r="AD44" s="40">
        <f>SUM(AD36:AD42)</f>
        <v>1</v>
      </c>
    </row>
    <row r="45" spans="1:30" ht="13.5" thickTop="1" x14ac:dyDescent="0.2">
      <c r="B45" s="41"/>
      <c r="C45" s="13"/>
      <c r="W45" s="1"/>
      <c r="AD45" s="13"/>
    </row>
    <row r="46" spans="1:30" x14ac:dyDescent="0.2">
      <c r="B46" s="41"/>
      <c r="D46" s="17"/>
      <c r="F46" s="17"/>
      <c r="H46" s="17"/>
      <c r="K46" s="17"/>
      <c r="W46" s="1"/>
    </row>
    <row r="47" spans="1:30" x14ac:dyDescent="0.2">
      <c r="D47" s="17"/>
      <c r="F47" s="17"/>
      <c r="K47" s="17"/>
      <c r="W47" s="1"/>
      <c r="X47" s="16"/>
    </row>
    <row r="48" spans="1:30" ht="20.25" customHeight="1" x14ac:dyDescent="0.2">
      <c r="D48" s="17"/>
      <c r="I48" s="4" t="s">
        <v>207</v>
      </c>
      <c r="W48" s="1"/>
    </row>
    <row r="49" spans="1:23" x14ac:dyDescent="0.2">
      <c r="I49" s="4" t="s">
        <v>70</v>
      </c>
    </row>
    <row r="50" spans="1:23" x14ac:dyDescent="0.2">
      <c r="I50" s="5"/>
      <c r="R50" s="1"/>
      <c r="W50" s="1"/>
    </row>
    <row r="51" spans="1:23" ht="14.25" x14ac:dyDescent="0.2">
      <c r="W51" s="37"/>
    </row>
    <row r="52" spans="1:23" x14ac:dyDescent="0.2">
      <c r="A52" s="6" t="str">
        <f>+A6</f>
        <v>NEWFOUNDLAND AND LABRADOR HYDRO</v>
      </c>
      <c r="B52" s="6"/>
      <c r="C52" s="6"/>
      <c r="D52" s="6"/>
      <c r="E52" s="6"/>
      <c r="F52" s="6"/>
      <c r="G52" s="6"/>
      <c r="H52" s="6"/>
      <c r="I52" s="6"/>
    </row>
    <row r="53" spans="1:23" x14ac:dyDescent="0.2">
      <c r="A53" s="6" t="str">
        <f>RunName</f>
        <v>2027 Test Year Cost of Service Study (Holyrood 18.43%)</v>
      </c>
      <c r="B53" s="6"/>
      <c r="C53" s="6"/>
      <c r="D53" s="6"/>
      <c r="E53" s="6"/>
      <c r="F53" s="6"/>
      <c r="G53" s="6"/>
      <c r="H53" s="6"/>
      <c r="I53" s="6"/>
    </row>
    <row r="54" spans="1:23" x14ac:dyDescent="0.2">
      <c r="A54" s="6" t="s">
        <v>63</v>
      </c>
      <c r="B54" s="6"/>
      <c r="C54" s="6"/>
      <c r="D54" s="6"/>
      <c r="E54" s="6"/>
      <c r="F54" s="6"/>
      <c r="G54" s="6"/>
      <c r="H54" s="6"/>
      <c r="I54" s="6"/>
    </row>
    <row r="55" spans="1:23" x14ac:dyDescent="0.2">
      <c r="A55" s="6" t="s">
        <v>9</v>
      </c>
      <c r="B55" s="6"/>
      <c r="C55" s="6"/>
      <c r="D55" s="6"/>
      <c r="E55" s="6"/>
      <c r="F55" s="6"/>
      <c r="G55" s="6"/>
      <c r="H55" s="6"/>
      <c r="I55" s="6"/>
    </row>
    <row r="56" spans="1:23" x14ac:dyDescent="0.2">
      <c r="B56" s="42"/>
      <c r="C56" s="42"/>
      <c r="D56" s="42"/>
      <c r="E56" s="42"/>
      <c r="F56" s="42"/>
      <c r="H56" s="42"/>
      <c r="I56" s="42"/>
    </row>
    <row r="57" spans="1:23" x14ac:dyDescent="0.2">
      <c r="B57" s="1">
        <f t="shared" ref="B57:I57" si="20">MAX(A57)+NoOne</f>
        <v>1</v>
      </c>
      <c r="C57" s="1">
        <f t="shared" si="20"/>
        <v>2</v>
      </c>
      <c r="D57" s="1">
        <f t="shared" si="20"/>
        <v>3</v>
      </c>
      <c r="E57" s="1">
        <f t="shared" si="20"/>
        <v>4</v>
      </c>
      <c r="F57" s="1">
        <f t="shared" si="20"/>
        <v>5</v>
      </c>
      <c r="G57" s="1">
        <f t="shared" si="20"/>
        <v>6</v>
      </c>
      <c r="H57" s="1">
        <v>6</v>
      </c>
      <c r="I57" s="1">
        <f t="shared" si="20"/>
        <v>7</v>
      </c>
    </row>
    <row r="58" spans="1:23" x14ac:dyDescent="0.2">
      <c r="E58" s="1"/>
      <c r="G58" s="1"/>
      <c r="H58" s="1"/>
      <c r="I58" s="1"/>
    </row>
    <row r="59" spans="1:23" s="1" customFormat="1" x14ac:dyDescent="0.2">
      <c r="D59" s="8" t="s">
        <v>12</v>
      </c>
      <c r="G59" s="2"/>
      <c r="H59" s="8" t="s">
        <v>13</v>
      </c>
      <c r="I59" s="1" t="s">
        <v>14</v>
      </c>
    </row>
    <row r="60" spans="1:23" s="1" customFormat="1" x14ac:dyDescent="0.2">
      <c r="A60" s="1" t="s">
        <v>17</v>
      </c>
      <c r="D60" s="1" t="s">
        <v>18</v>
      </c>
      <c r="E60" s="1" t="s">
        <v>14</v>
      </c>
      <c r="F60" s="1" t="s">
        <v>30</v>
      </c>
      <c r="G60" s="8" t="s">
        <v>19</v>
      </c>
      <c r="H60" s="8" t="s">
        <v>20</v>
      </c>
      <c r="I60" s="1" t="s">
        <v>21</v>
      </c>
    </row>
    <row r="61" spans="1:23" x14ac:dyDescent="0.2">
      <c r="A61" s="1" t="s">
        <v>25</v>
      </c>
      <c r="B61" s="1" t="s">
        <v>26</v>
      </c>
      <c r="C61" s="1" t="s">
        <v>27</v>
      </c>
      <c r="D61" s="1" t="s">
        <v>28</v>
      </c>
      <c r="E61" s="1" t="s">
        <v>71</v>
      </c>
      <c r="F61" s="1" t="s">
        <v>72</v>
      </c>
      <c r="G61" s="1" t="s">
        <v>31</v>
      </c>
      <c r="H61" s="1" t="s">
        <v>28</v>
      </c>
      <c r="I61" s="1" t="s">
        <v>32</v>
      </c>
    </row>
    <row r="62" spans="1:23" x14ac:dyDescent="0.2">
      <c r="B62" s="1"/>
      <c r="C62" s="1"/>
      <c r="D62" s="1"/>
      <c r="E62" s="1"/>
      <c r="F62" s="1"/>
      <c r="H62" s="11" t="s">
        <v>38</v>
      </c>
      <c r="I62" s="1" t="s">
        <v>39</v>
      </c>
    </row>
    <row r="63" spans="1:23" x14ac:dyDescent="0.2">
      <c r="B63" s="1"/>
      <c r="C63" s="1" t="s">
        <v>40</v>
      </c>
      <c r="D63" s="1" t="s">
        <v>40</v>
      </c>
      <c r="E63" s="1" t="s">
        <v>40</v>
      </c>
      <c r="F63" s="1" t="s">
        <v>40</v>
      </c>
      <c r="G63" s="1" t="s">
        <v>40</v>
      </c>
      <c r="H63" s="1" t="s">
        <v>40</v>
      </c>
      <c r="I63" s="1"/>
    </row>
    <row r="64" spans="1:23" x14ac:dyDescent="0.2">
      <c r="H64" s="13"/>
    </row>
    <row r="65" spans="1:18" x14ac:dyDescent="0.2">
      <c r="B65" s="16" t="s">
        <v>63</v>
      </c>
      <c r="H65" s="13"/>
    </row>
    <row r="66" spans="1:18" x14ac:dyDescent="0.2">
      <c r="A66" s="1">
        <v>1</v>
      </c>
      <c r="B66" s="23" t="s">
        <v>44</v>
      </c>
      <c r="C66" s="13">
        <v>636811717.27999985</v>
      </c>
      <c r="D66" s="13">
        <v>574010053.72714305</v>
      </c>
      <c r="E66" s="13">
        <f>(D66/($D$66+$D$70+$D$87))*-$E$95</f>
        <v>0</v>
      </c>
      <c r="F66" s="13">
        <f>+C320-D273</f>
        <v>62805746.098321363</v>
      </c>
      <c r="G66" s="13">
        <f>-G67</f>
        <v>0</v>
      </c>
      <c r="H66" s="13">
        <f>SUM(D66:G66)</f>
        <v>636815799.82546437</v>
      </c>
      <c r="I66" s="43"/>
      <c r="J66" s="15"/>
    </row>
    <row r="67" spans="1:18" ht="15" x14ac:dyDescent="0.25">
      <c r="A67" s="1">
        <v>2</v>
      </c>
      <c r="B67" s="2" t="s">
        <v>73</v>
      </c>
      <c r="C67" s="44">
        <v>0</v>
      </c>
      <c r="D67" s="45"/>
      <c r="E67" s="45"/>
      <c r="F67" s="45"/>
      <c r="G67" s="13"/>
      <c r="H67" s="45">
        <f>SUM(D67:G67)</f>
        <v>0</v>
      </c>
      <c r="I67" s="46"/>
    </row>
    <row r="68" spans="1:18" ht="20.25" customHeight="1" x14ac:dyDescent="0.2">
      <c r="A68" s="1">
        <v>3</v>
      </c>
      <c r="B68" s="24" t="s">
        <v>49</v>
      </c>
      <c r="C68" s="21">
        <f t="shared" ref="C68:H68" si="21">SUM(C66:C67)</f>
        <v>636811717.27999985</v>
      </c>
      <c r="D68" s="21">
        <f t="shared" si="21"/>
        <v>574010053.72714305</v>
      </c>
      <c r="E68" s="21">
        <f t="shared" si="21"/>
        <v>0</v>
      </c>
      <c r="F68" s="21">
        <f t="shared" si="21"/>
        <v>62805746.098321363</v>
      </c>
      <c r="G68" s="21">
        <f t="shared" si="21"/>
        <v>0</v>
      </c>
      <c r="H68" s="21">
        <f t="shared" si="21"/>
        <v>636815799.82546437</v>
      </c>
      <c r="I68" s="22">
        <f>IF(D68&lt;&gt;0,C68/D68,0)</f>
        <v>1.1094086473661482</v>
      </c>
    </row>
    <row r="69" spans="1:18" ht="20.25" customHeight="1" x14ac:dyDescent="0.2">
      <c r="B69" s="16"/>
      <c r="C69" s="47"/>
      <c r="D69" s="47"/>
      <c r="E69" s="47"/>
      <c r="F69" s="47"/>
      <c r="H69" s="47"/>
      <c r="I69" s="48"/>
    </row>
    <row r="70" spans="1:18" x14ac:dyDescent="0.2">
      <c r="A70" s="1">
        <v>4</v>
      </c>
      <c r="B70" s="2" t="s">
        <v>74</v>
      </c>
      <c r="C70" s="13">
        <v>43039766.840000004</v>
      </c>
      <c r="D70" s="13">
        <v>43043363.427025817</v>
      </c>
      <c r="E70" s="13">
        <f>(D70/($D$66+$D$70+$D$87))*-$E$95</f>
        <v>0</v>
      </c>
      <c r="F70" s="13"/>
      <c r="H70" s="13">
        <f>SUM(D70:F70)</f>
        <v>43043363.427025817</v>
      </c>
      <c r="I70" s="43"/>
      <c r="J70" s="15"/>
    </row>
    <row r="71" spans="1:18" x14ac:dyDescent="0.2">
      <c r="A71" s="1">
        <v>5</v>
      </c>
      <c r="B71" s="2" t="s">
        <v>75</v>
      </c>
      <c r="C71" s="13">
        <v>0</v>
      </c>
      <c r="D71" s="13">
        <v>0</v>
      </c>
      <c r="E71" s="13">
        <f>+E95</f>
        <v>0</v>
      </c>
      <c r="F71" s="13"/>
      <c r="H71" s="13">
        <f>+C71</f>
        <v>0</v>
      </c>
      <c r="I71" s="43"/>
    </row>
    <row r="72" spans="1:18" ht="15" x14ac:dyDescent="0.25">
      <c r="A72" s="1">
        <v>6</v>
      </c>
      <c r="B72" s="2" t="s">
        <v>76</v>
      </c>
      <c r="C72" s="44">
        <v>0</v>
      </c>
      <c r="D72" s="13"/>
      <c r="E72" s="13"/>
      <c r="F72" s="13"/>
      <c r="H72" s="13">
        <f>SUM(D72:F72)</f>
        <v>0</v>
      </c>
      <c r="I72" s="43"/>
    </row>
    <row r="73" spans="1:18" x14ac:dyDescent="0.2">
      <c r="A73" s="1">
        <v>7</v>
      </c>
      <c r="B73" s="24" t="s">
        <v>77</v>
      </c>
      <c r="C73" s="21">
        <f>SUM(C70:C72)</f>
        <v>43039766.840000004</v>
      </c>
      <c r="D73" s="21">
        <f>SUM(D70:D72)</f>
        <v>43043363.427025817</v>
      </c>
      <c r="E73" s="21">
        <f>SUM(E70:E72)</f>
        <v>0</v>
      </c>
      <c r="F73" s="21">
        <f>SUM(F70:F72)</f>
        <v>0</v>
      </c>
      <c r="G73" s="21"/>
      <c r="H73" s="21">
        <f>SUM(H70:H72)</f>
        <v>43043363.427025817</v>
      </c>
      <c r="I73" s="22">
        <f>IF(D73&lt;&gt;0,C73/D73,0)</f>
        <v>0.99991644270476421</v>
      </c>
    </row>
    <row r="74" spans="1:18" x14ac:dyDescent="0.2">
      <c r="B74" s="16"/>
      <c r="C74" s="47"/>
      <c r="D74" s="47"/>
      <c r="E74" s="47"/>
      <c r="F74" s="47"/>
      <c r="G74" s="47"/>
      <c r="H74" s="47"/>
      <c r="I74" s="48"/>
    </row>
    <row r="75" spans="1:18" ht="15" x14ac:dyDescent="0.25">
      <c r="A75" s="1">
        <v>8</v>
      </c>
      <c r="B75" s="16" t="s">
        <v>52</v>
      </c>
      <c r="C75" s="49">
        <v>0</v>
      </c>
      <c r="D75" s="50"/>
      <c r="E75" s="50"/>
      <c r="F75" s="50"/>
      <c r="G75" s="50"/>
      <c r="H75" s="50"/>
      <c r="I75" s="51"/>
    </row>
    <row r="76" spans="1:18" x14ac:dyDescent="0.2">
      <c r="B76" s="16"/>
      <c r="C76" s="47"/>
      <c r="D76" s="47"/>
      <c r="E76" s="47"/>
      <c r="F76" s="47"/>
      <c r="H76" s="47"/>
      <c r="I76" s="48"/>
    </row>
    <row r="77" spans="1:18" x14ac:dyDescent="0.2">
      <c r="B77" s="16" t="s">
        <v>78</v>
      </c>
      <c r="C77" s="13"/>
      <c r="D77" s="13"/>
      <c r="E77" s="13"/>
      <c r="F77" s="13"/>
      <c r="H77" s="13"/>
    </row>
    <row r="78" spans="1:18" ht="15" x14ac:dyDescent="0.25">
      <c r="A78" s="1">
        <f t="shared" ref="A78" si="22">MAX(A75:A77)+NoOne</f>
        <v>9</v>
      </c>
      <c r="B78" s="2" t="s">
        <v>79</v>
      </c>
      <c r="C78" s="52">
        <v>18788947.558794092</v>
      </c>
      <c r="D78" s="14">
        <v>28142540.176843163</v>
      </c>
      <c r="E78" s="14">
        <f t="shared" ref="E78:E85" si="23">(D78/($D$66+$D$70+$D$87))*-$E$95</f>
        <v>0</v>
      </c>
      <c r="F78" s="14">
        <f>C78-D78-E78</f>
        <v>-9353592.6180490702</v>
      </c>
      <c r="G78" s="14"/>
      <c r="H78" s="14">
        <f t="shared" ref="H78:H85" si="24">SUM(D78:F78)</f>
        <v>18788947.558794092</v>
      </c>
      <c r="I78" s="53">
        <f>IF(D78&lt;&gt;0,C78/D78,0)</f>
        <v>0.66763509763963702</v>
      </c>
      <c r="K78" s="2" t="s">
        <v>80</v>
      </c>
      <c r="R78" s="1"/>
    </row>
    <row r="79" spans="1:18" ht="15" x14ac:dyDescent="0.25">
      <c r="A79" s="1">
        <f t="shared" ref="A79" si="25">MAX(A76:A78)+NoOne</f>
        <v>10</v>
      </c>
      <c r="B79" s="2" t="s">
        <v>81</v>
      </c>
      <c r="C79" s="52">
        <v>23929645.322584182</v>
      </c>
      <c r="D79" s="14">
        <v>31354225.472943489</v>
      </c>
      <c r="E79" s="14">
        <f t="shared" si="23"/>
        <v>0</v>
      </c>
      <c r="F79" s="14">
        <f t="shared" ref="F79:F85" si="26">C79-D79-E79</f>
        <v>-7424580.1503593065</v>
      </c>
      <c r="G79" s="14"/>
      <c r="H79" s="14">
        <f t="shared" si="24"/>
        <v>23929645.322584182</v>
      </c>
      <c r="I79" s="53">
        <f t="shared" ref="I79:I85" si="27">IF(D79&lt;&gt;0,C79/D79,0)</f>
        <v>0.76320320344809023</v>
      </c>
      <c r="K79" s="2" t="s">
        <v>82</v>
      </c>
    </row>
    <row r="80" spans="1:18" ht="15" x14ac:dyDescent="0.25">
      <c r="A80" s="1">
        <f t="shared" ref="A80" si="28">MAX(A77:A79)+NoOne</f>
        <v>11</v>
      </c>
      <c r="B80" s="2" t="s">
        <v>83</v>
      </c>
      <c r="C80" s="52">
        <v>21703.949999999997</v>
      </c>
      <c r="D80" s="14">
        <v>86634.479173384083</v>
      </c>
      <c r="E80" s="14">
        <f t="shared" si="23"/>
        <v>0</v>
      </c>
      <c r="F80" s="14">
        <f t="shared" si="26"/>
        <v>-64930.529173384086</v>
      </c>
      <c r="G80" s="14"/>
      <c r="H80" s="14">
        <f t="shared" si="24"/>
        <v>21703.949999999997</v>
      </c>
      <c r="I80" s="53">
        <f t="shared" si="27"/>
        <v>0.25052323517249125</v>
      </c>
      <c r="K80" s="2" t="s">
        <v>84</v>
      </c>
    </row>
    <row r="81" spans="1:11" ht="15" x14ac:dyDescent="0.25">
      <c r="A81" s="1">
        <f t="shared" ref="A81" si="29">MAX(A78:A80)+NoOne</f>
        <v>12</v>
      </c>
      <c r="B81" s="2" t="s">
        <v>85</v>
      </c>
      <c r="C81" s="52">
        <v>12084583.400972759</v>
      </c>
      <c r="D81" s="14">
        <v>13609062.825450782</v>
      </c>
      <c r="E81" s="14">
        <f t="shared" si="23"/>
        <v>0</v>
      </c>
      <c r="F81" s="14">
        <f t="shared" si="26"/>
        <v>-1524479.4244780224</v>
      </c>
      <c r="G81" s="14"/>
      <c r="H81" s="14">
        <f t="shared" si="24"/>
        <v>12084583.400972759</v>
      </c>
      <c r="I81" s="53">
        <f t="shared" si="27"/>
        <v>0.88798057264993735</v>
      </c>
      <c r="K81" s="2" t="s">
        <v>86</v>
      </c>
    </row>
    <row r="82" spans="1:11" ht="14.45" hidden="1" customHeight="1" x14ac:dyDescent="0.25">
      <c r="A82" s="1">
        <f t="shared" ref="A82" si="30">MAX(A79:A81)+NoOne</f>
        <v>13</v>
      </c>
      <c r="B82" s="2" t="s">
        <v>87</v>
      </c>
      <c r="C82" s="52">
        <v>0</v>
      </c>
      <c r="D82" s="14">
        <v>0</v>
      </c>
      <c r="E82" s="14">
        <f t="shared" si="23"/>
        <v>0</v>
      </c>
      <c r="F82" s="14">
        <f t="shared" si="26"/>
        <v>0</v>
      </c>
      <c r="G82" s="14"/>
      <c r="H82" s="14">
        <f t="shared" si="24"/>
        <v>0</v>
      </c>
      <c r="I82" s="53">
        <f t="shared" si="27"/>
        <v>0</v>
      </c>
      <c r="K82" s="2" t="s">
        <v>88</v>
      </c>
    </row>
    <row r="83" spans="1:11" ht="15" x14ac:dyDescent="0.25">
      <c r="A83" s="1">
        <v>13</v>
      </c>
      <c r="B83" s="2" t="s">
        <v>89</v>
      </c>
      <c r="C83" s="52">
        <v>7645700.2165019428</v>
      </c>
      <c r="D83" s="14">
        <v>7898178.9110120116</v>
      </c>
      <c r="E83" s="14">
        <f t="shared" si="23"/>
        <v>0</v>
      </c>
      <c r="F83" s="14">
        <f t="shared" si="26"/>
        <v>-252478.69451006874</v>
      </c>
      <c r="G83" s="14"/>
      <c r="H83" s="14">
        <f t="shared" si="24"/>
        <v>7645700.2165019428</v>
      </c>
      <c r="I83" s="53">
        <f t="shared" si="27"/>
        <v>0.96803330269487176</v>
      </c>
      <c r="K83" s="2" t="s">
        <v>90</v>
      </c>
    </row>
    <row r="84" spans="1:11" ht="15" x14ac:dyDescent="0.25">
      <c r="A84" s="1">
        <f t="shared" ref="A84" si="31">MAX(A81:A83)+NoOne</f>
        <v>14</v>
      </c>
      <c r="B84" s="2" t="s">
        <v>91</v>
      </c>
      <c r="C84" s="52">
        <v>5260869.3307651561</v>
      </c>
      <c r="D84" s="14">
        <v>4798901.7118478585</v>
      </c>
      <c r="E84" s="14">
        <f t="shared" si="23"/>
        <v>0</v>
      </c>
      <c r="F84" s="14">
        <f t="shared" si="26"/>
        <v>461967.61891729757</v>
      </c>
      <c r="G84" s="14"/>
      <c r="H84" s="14">
        <f t="shared" si="24"/>
        <v>5260869.3307651561</v>
      </c>
      <c r="I84" s="53">
        <f t="shared" si="27"/>
        <v>1.096265280402964</v>
      </c>
      <c r="K84" s="2" t="s">
        <v>92</v>
      </c>
    </row>
    <row r="85" spans="1:11" ht="15" x14ac:dyDescent="0.25">
      <c r="A85" s="1">
        <f t="shared" ref="A85" si="32">MAX(A82:A84)+NoOne</f>
        <v>15</v>
      </c>
      <c r="B85" s="2" t="s">
        <v>93</v>
      </c>
      <c r="C85" s="52">
        <v>1177608.1732799991</v>
      </c>
      <c r="D85" s="14">
        <v>1453888.1286124857</v>
      </c>
      <c r="E85" s="14">
        <f t="shared" si="23"/>
        <v>0</v>
      </c>
      <c r="F85" s="14">
        <f t="shared" si="26"/>
        <v>-276279.95533248666</v>
      </c>
      <c r="G85" s="14"/>
      <c r="H85" s="14">
        <f t="shared" si="24"/>
        <v>1177608.1732799991</v>
      </c>
      <c r="I85" s="53">
        <f t="shared" si="27"/>
        <v>0.80997165469935184</v>
      </c>
      <c r="K85" s="2" t="s">
        <v>94</v>
      </c>
    </row>
    <row r="86" spans="1:11" x14ac:dyDescent="0.2">
      <c r="B86" s="13"/>
      <c r="C86" s="13"/>
      <c r="D86" s="13"/>
      <c r="E86" s="13"/>
      <c r="F86" s="13"/>
      <c r="H86" s="13"/>
      <c r="I86" s="54"/>
    </row>
    <row r="87" spans="1:11" x14ac:dyDescent="0.2">
      <c r="A87" s="1">
        <v>16</v>
      </c>
      <c r="B87" s="16" t="s">
        <v>95</v>
      </c>
      <c r="C87" s="31">
        <f>SUM(C78:C85)</f>
        <v>68909057.952898145</v>
      </c>
      <c r="D87" s="31">
        <f>SUM(D78:D85)</f>
        <v>87343431.705883175</v>
      </c>
      <c r="E87" s="31">
        <f>SUM(E78:E85)</f>
        <v>0</v>
      </c>
      <c r="F87" s="31">
        <f>SUM(F78:F85)</f>
        <v>-18434373.752985045</v>
      </c>
      <c r="G87" s="31"/>
      <c r="H87" s="31">
        <f>SUM(H78:H85)</f>
        <v>68909057.952898145</v>
      </c>
      <c r="I87" s="32">
        <f>IF(D87&lt;&gt;0,C87/D87,0)</f>
        <v>0.78894378898392481</v>
      </c>
      <c r="J87" s="15"/>
    </row>
    <row r="88" spans="1:11" ht="13.5" thickBot="1" x14ac:dyDescent="0.25">
      <c r="A88" s="1">
        <v>17</v>
      </c>
      <c r="B88" s="16" t="s">
        <v>96</v>
      </c>
      <c r="C88" s="55">
        <f>SUM(C87,C73,C68,C75)</f>
        <v>748760542.07289803</v>
      </c>
      <c r="D88" s="55">
        <f>SUM(D87,D73,D68,D75)</f>
        <v>704396848.86005211</v>
      </c>
      <c r="E88" s="55">
        <f>SUM(E87,E73,E68,E75)</f>
        <v>0</v>
      </c>
      <c r="F88" s="55">
        <f>SUM(F87,F73,F68,F75)</f>
        <v>44371372.345336318</v>
      </c>
      <c r="G88" s="55"/>
      <c r="H88" s="55">
        <f>SUM(H87,H73,H68,H75)</f>
        <v>748768221.20538831</v>
      </c>
      <c r="I88" s="35">
        <f>IF(D88&lt;&gt;0,C88/D88,0)</f>
        <v>1.062981106864179</v>
      </c>
    </row>
    <row r="89" spans="1:11" ht="13.5" thickTop="1" x14ac:dyDescent="0.2">
      <c r="H89" s="13"/>
    </row>
    <row r="90" spans="1:11" ht="15" x14ac:dyDescent="0.25">
      <c r="C90" s="56"/>
      <c r="D90" s="14"/>
      <c r="H90" s="13"/>
    </row>
    <row r="91" spans="1:11" x14ac:dyDescent="0.2">
      <c r="H91" s="13"/>
    </row>
    <row r="92" spans="1:11" x14ac:dyDescent="0.2">
      <c r="B92" s="23"/>
    </row>
    <row r="93" spans="1:11" x14ac:dyDescent="0.2">
      <c r="B93" s="41"/>
      <c r="E93" s="13"/>
    </row>
    <row r="94" spans="1:11" hidden="1" x14ac:dyDescent="0.2">
      <c r="B94" s="41"/>
    </row>
    <row r="95" spans="1:11" hidden="1" x14ac:dyDescent="0.2">
      <c r="B95" s="57"/>
    </row>
    <row r="96" spans="1:11" hidden="1" x14ac:dyDescent="0.2"/>
    <row r="97" spans="1:18" x14ac:dyDescent="0.2">
      <c r="I97" s="4" t="s">
        <v>207</v>
      </c>
    </row>
    <row r="98" spans="1:18" x14ac:dyDescent="0.2">
      <c r="I98" s="4" t="s">
        <v>97</v>
      </c>
    </row>
    <row r="99" spans="1:18" x14ac:dyDescent="0.2">
      <c r="I99" s="5"/>
    </row>
    <row r="101" spans="1:18" x14ac:dyDescent="0.2">
      <c r="A101" s="6" t="str">
        <f>+A6</f>
        <v>NEWFOUNDLAND AND LABRADOR HYDRO</v>
      </c>
      <c r="B101" s="6"/>
      <c r="C101" s="6"/>
      <c r="D101" s="6"/>
      <c r="E101" s="6"/>
      <c r="F101" s="6"/>
      <c r="G101" s="6"/>
      <c r="H101" s="6"/>
      <c r="I101" s="6"/>
    </row>
    <row r="102" spans="1:18" x14ac:dyDescent="0.2">
      <c r="A102" s="6" t="str">
        <f>RunName</f>
        <v>2027 Test Year Cost of Service Study (Holyrood 18.43%)</v>
      </c>
      <c r="B102" s="6"/>
      <c r="C102" s="6"/>
      <c r="D102" s="6"/>
      <c r="E102" s="6"/>
      <c r="F102" s="6"/>
      <c r="G102" s="6"/>
      <c r="H102" s="6"/>
      <c r="I102" s="6"/>
    </row>
    <row r="103" spans="1:18" x14ac:dyDescent="0.2">
      <c r="A103" s="6" t="s">
        <v>64</v>
      </c>
      <c r="B103" s="6"/>
      <c r="C103" s="6"/>
      <c r="D103" s="6"/>
      <c r="E103" s="6"/>
      <c r="F103" s="6"/>
      <c r="G103" s="6"/>
      <c r="H103" s="6"/>
      <c r="I103" s="6"/>
    </row>
    <row r="104" spans="1:18" x14ac:dyDescent="0.2">
      <c r="A104" s="6" t="s">
        <v>9</v>
      </c>
      <c r="B104" s="6"/>
      <c r="C104" s="6"/>
      <c r="D104" s="6"/>
      <c r="E104" s="6"/>
      <c r="F104" s="6"/>
      <c r="G104" s="6"/>
      <c r="H104" s="6"/>
      <c r="I104" s="6"/>
      <c r="R104" s="1"/>
    </row>
    <row r="105" spans="1:18" s="1" customFormat="1" x14ac:dyDescent="0.2"/>
    <row r="106" spans="1:18" s="1" customFormat="1" x14ac:dyDescent="0.2">
      <c r="B106" s="1">
        <f t="shared" ref="B106:I106" si="33">MAX(A106)+NoOne</f>
        <v>1</v>
      </c>
      <c r="C106" s="1">
        <f t="shared" si="33"/>
        <v>2</v>
      </c>
      <c r="D106" s="1">
        <f t="shared" si="33"/>
        <v>3</v>
      </c>
      <c r="E106" s="1">
        <f t="shared" si="33"/>
        <v>4</v>
      </c>
      <c r="F106" s="1">
        <f t="shared" si="33"/>
        <v>5</v>
      </c>
      <c r="G106" s="1">
        <f t="shared" si="33"/>
        <v>6</v>
      </c>
      <c r="H106" s="1">
        <v>6</v>
      </c>
      <c r="I106" s="1">
        <f t="shared" si="33"/>
        <v>7</v>
      </c>
    </row>
    <row r="107" spans="1:18" s="1" customFormat="1" x14ac:dyDescent="0.2"/>
    <row r="108" spans="1:18" x14ac:dyDescent="0.2">
      <c r="B108" s="1"/>
      <c r="C108" s="1"/>
      <c r="D108" s="8" t="s">
        <v>12</v>
      </c>
      <c r="E108" s="1"/>
      <c r="F108" s="1"/>
      <c r="H108" s="8" t="s">
        <v>13</v>
      </c>
      <c r="I108" s="1" t="s">
        <v>14</v>
      </c>
    </row>
    <row r="109" spans="1:18" x14ac:dyDescent="0.2">
      <c r="A109" s="1" t="s">
        <v>17</v>
      </c>
      <c r="B109" s="1"/>
      <c r="C109" s="1"/>
      <c r="D109" s="1" t="s">
        <v>18</v>
      </c>
      <c r="E109" s="1" t="s">
        <v>14</v>
      </c>
      <c r="F109" s="1"/>
      <c r="G109" s="8" t="s">
        <v>19</v>
      </c>
      <c r="H109" s="8" t="s">
        <v>20</v>
      </c>
      <c r="I109" s="1" t="s">
        <v>21</v>
      </c>
    </row>
    <row r="110" spans="1:18" x14ac:dyDescent="0.2">
      <c r="A110" s="1" t="s">
        <v>25</v>
      </c>
      <c r="B110" s="1" t="s">
        <v>26</v>
      </c>
      <c r="C110" s="1" t="s">
        <v>27</v>
      </c>
      <c r="D110" s="1" t="s">
        <v>28</v>
      </c>
      <c r="E110" s="1" t="s">
        <v>71</v>
      </c>
      <c r="F110" s="1" t="s">
        <v>30</v>
      </c>
      <c r="G110" s="1" t="s">
        <v>31</v>
      </c>
      <c r="H110" s="1" t="s">
        <v>28</v>
      </c>
      <c r="I110" s="1" t="s">
        <v>32</v>
      </c>
    </row>
    <row r="111" spans="1:18" x14ac:dyDescent="0.2">
      <c r="B111" s="1"/>
      <c r="C111" s="1"/>
      <c r="D111" s="1"/>
      <c r="E111" s="1"/>
      <c r="F111" s="1"/>
      <c r="H111" s="11" t="s">
        <v>38</v>
      </c>
      <c r="I111" s="1" t="s">
        <v>39</v>
      </c>
    </row>
    <row r="112" spans="1:18" x14ac:dyDescent="0.2">
      <c r="B112" s="1"/>
      <c r="C112" s="1" t="s">
        <v>40</v>
      </c>
      <c r="D112" s="1" t="s">
        <v>40</v>
      </c>
      <c r="E112" s="1" t="s">
        <v>40</v>
      </c>
      <c r="F112" s="1" t="s">
        <v>40</v>
      </c>
      <c r="G112" s="1" t="s">
        <v>40</v>
      </c>
      <c r="H112" s="1" t="s">
        <v>40</v>
      </c>
      <c r="I112" s="1"/>
    </row>
    <row r="115" spans="1:12" x14ac:dyDescent="0.2">
      <c r="B115" s="16" t="s">
        <v>64</v>
      </c>
    </row>
    <row r="116" spans="1:12" ht="15" x14ac:dyDescent="0.25">
      <c r="A116" s="1">
        <f t="shared" ref="A116" si="34">MAX(A113:A115)+NoOne</f>
        <v>1</v>
      </c>
      <c r="B116" s="2" t="s">
        <v>98</v>
      </c>
      <c r="C116" s="52">
        <v>809510.05334059661</v>
      </c>
      <c r="D116" s="14">
        <v>7704844.263737564</v>
      </c>
      <c r="E116" s="14"/>
      <c r="F116" s="14">
        <f>C116-D116</f>
        <v>-6895334.2103969678</v>
      </c>
      <c r="G116" s="14"/>
      <c r="H116" s="14">
        <f t="shared" ref="H116:H126" si="35">SUM(D116,F116)</f>
        <v>809510.05334059615</v>
      </c>
      <c r="I116" s="53">
        <f>IF(D116&lt;&gt;0,C116/D116,0)</f>
        <v>0.10506507667526938</v>
      </c>
      <c r="K116" s="58" t="s">
        <v>99</v>
      </c>
      <c r="L116" s="58"/>
    </row>
    <row r="117" spans="1:12" ht="15" x14ac:dyDescent="0.25">
      <c r="A117" s="1">
        <f t="shared" ref="A117" si="36">MAX(A114:A116)+NoOne</f>
        <v>2</v>
      </c>
      <c r="B117" s="2" t="s">
        <v>100</v>
      </c>
      <c r="C117" s="52">
        <v>0</v>
      </c>
      <c r="D117" s="14">
        <v>55464.455893001636</v>
      </c>
      <c r="E117" s="14"/>
      <c r="F117" s="14">
        <f t="shared" ref="F117:F126" si="37">C117-D117</f>
        <v>-55464.455893001636</v>
      </c>
      <c r="G117" s="14"/>
      <c r="H117" s="14">
        <f t="shared" si="35"/>
        <v>0</v>
      </c>
      <c r="I117" s="53">
        <f t="shared" ref="I117:I126" si="38">IF(D117&lt;&gt;0,C117/D117,0)</f>
        <v>0</v>
      </c>
      <c r="K117" s="58" t="s">
        <v>101</v>
      </c>
      <c r="L117" s="58"/>
    </row>
    <row r="118" spans="1:12" ht="15" x14ac:dyDescent="0.25">
      <c r="A118" s="1">
        <f t="shared" ref="A118" si="39">MAX(A115:A117)+NoOne</f>
        <v>3</v>
      </c>
      <c r="B118" s="23" t="s">
        <v>102</v>
      </c>
      <c r="C118" s="52">
        <v>54842.660460796527</v>
      </c>
      <c r="D118" s="14">
        <v>367318.76345747465</v>
      </c>
      <c r="E118" s="14"/>
      <c r="F118" s="14">
        <f t="shared" si="37"/>
        <v>-312476.10299667809</v>
      </c>
      <c r="G118" s="14"/>
      <c r="H118" s="14">
        <f t="shared" si="35"/>
        <v>54842.660460796556</v>
      </c>
      <c r="I118" s="53">
        <f t="shared" si="38"/>
        <v>0.14930536067522668</v>
      </c>
      <c r="K118" s="58" t="s">
        <v>103</v>
      </c>
      <c r="L118" s="58"/>
    </row>
    <row r="119" spans="1:12" ht="15" x14ac:dyDescent="0.25">
      <c r="A119" s="1">
        <f t="shared" ref="A119" si="40">MAX(A116:A118)+NoOne</f>
        <v>4</v>
      </c>
      <c r="B119" s="2" t="s">
        <v>104</v>
      </c>
      <c r="C119" s="52">
        <v>285054.36288423219</v>
      </c>
      <c r="D119" s="52">
        <v>823424.74077321135</v>
      </c>
      <c r="E119" s="14"/>
      <c r="F119" s="14">
        <f t="shared" si="37"/>
        <v>-538370.37788897916</v>
      </c>
      <c r="G119" s="14"/>
      <c r="H119" s="14">
        <f t="shared" si="35"/>
        <v>285054.36288423219</v>
      </c>
      <c r="I119" s="53">
        <f t="shared" si="38"/>
        <v>0.3461814404757389</v>
      </c>
      <c r="K119" s="58" t="s">
        <v>105</v>
      </c>
      <c r="L119" s="58"/>
    </row>
    <row r="120" spans="1:12" ht="15" x14ac:dyDescent="0.25">
      <c r="A120" s="1">
        <f t="shared" ref="A120" si="41">MAX(A117:A119)+NoOne</f>
        <v>5</v>
      </c>
      <c r="B120" s="2" t="s">
        <v>106</v>
      </c>
      <c r="C120" s="52">
        <v>535299.34273159155</v>
      </c>
      <c r="D120" s="52">
        <v>1290296.0560981249</v>
      </c>
      <c r="E120" s="14"/>
      <c r="F120" s="14">
        <f t="shared" si="37"/>
        <v>-754996.7133665334</v>
      </c>
      <c r="G120" s="14"/>
      <c r="H120" s="14">
        <f t="shared" si="35"/>
        <v>535299.34273159155</v>
      </c>
      <c r="I120" s="53">
        <f t="shared" si="38"/>
        <v>0.4148655188099582</v>
      </c>
      <c r="K120" s="58" t="s">
        <v>107</v>
      </c>
      <c r="L120" s="58"/>
    </row>
    <row r="121" spans="1:12" ht="15" x14ac:dyDescent="0.25">
      <c r="A121" s="1">
        <f t="shared" ref="A121" si="42">MAX(A118:A120)+NoOne</f>
        <v>6</v>
      </c>
      <c r="B121" s="2" t="s">
        <v>108</v>
      </c>
      <c r="C121" s="52">
        <v>0</v>
      </c>
      <c r="D121" s="14">
        <v>0</v>
      </c>
      <c r="E121" s="14"/>
      <c r="F121" s="14">
        <f t="shared" si="37"/>
        <v>0</v>
      </c>
      <c r="G121" s="14"/>
      <c r="H121" s="14">
        <f t="shared" si="35"/>
        <v>0</v>
      </c>
      <c r="I121" s="53">
        <f t="shared" si="38"/>
        <v>0</v>
      </c>
      <c r="K121" s="58" t="s">
        <v>109</v>
      </c>
      <c r="L121" s="58"/>
    </row>
    <row r="122" spans="1:12" ht="15" x14ac:dyDescent="0.25">
      <c r="A122" s="1">
        <f t="shared" ref="A122" si="43">MAX(A119:A121)+NoOne</f>
        <v>7</v>
      </c>
      <c r="B122" s="2" t="s">
        <v>91</v>
      </c>
      <c r="C122" s="52">
        <v>0</v>
      </c>
      <c r="D122" s="14">
        <v>0</v>
      </c>
      <c r="E122" s="14"/>
      <c r="F122" s="14">
        <f t="shared" si="37"/>
        <v>0</v>
      </c>
      <c r="G122" s="14"/>
      <c r="H122" s="14">
        <f t="shared" si="35"/>
        <v>0</v>
      </c>
      <c r="I122" s="53">
        <f t="shared" si="38"/>
        <v>0</v>
      </c>
      <c r="K122" s="58" t="s">
        <v>110</v>
      </c>
      <c r="L122" s="58"/>
    </row>
    <row r="123" spans="1:12" ht="15" hidden="1" x14ac:dyDescent="0.25">
      <c r="A123" s="1">
        <f t="shared" ref="A123" si="44">MAX(A120:A122)+NoOne</f>
        <v>8</v>
      </c>
      <c r="B123" s="2" t="s">
        <v>111</v>
      </c>
      <c r="C123" s="52">
        <v>0</v>
      </c>
      <c r="D123" s="14">
        <v>0</v>
      </c>
      <c r="E123" s="14"/>
      <c r="F123" s="14">
        <f t="shared" si="37"/>
        <v>0</v>
      </c>
      <c r="G123" s="14"/>
      <c r="H123" s="14">
        <f t="shared" si="35"/>
        <v>0</v>
      </c>
      <c r="I123" s="53">
        <f t="shared" si="38"/>
        <v>0</v>
      </c>
      <c r="K123" s="58" t="s">
        <v>112</v>
      </c>
      <c r="L123" s="58"/>
    </row>
    <row r="124" spans="1:12" ht="15" hidden="1" x14ac:dyDescent="0.25">
      <c r="A124" s="1">
        <f t="shared" ref="A124" si="45">MAX(A121:A123)+NoOne</f>
        <v>9</v>
      </c>
      <c r="B124" s="2" t="s">
        <v>113</v>
      </c>
      <c r="C124" s="52">
        <v>0</v>
      </c>
      <c r="D124" s="14">
        <v>0</v>
      </c>
      <c r="E124" s="14"/>
      <c r="F124" s="14">
        <f t="shared" si="37"/>
        <v>0</v>
      </c>
      <c r="G124" s="14"/>
      <c r="H124" s="14">
        <f t="shared" si="35"/>
        <v>0</v>
      </c>
      <c r="I124" s="53">
        <f t="shared" si="38"/>
        <v>0</v>
      </c>
      <c r="K124" s="58" t="s">
        <v>114</v>
      </c>
      <c r="L124" s="58"/>
    </row>
    <row r="125" spans="1:12" ht="15" x14ac:dyDescent="0.25">
      <c r="A125" s="1">
        <v>8</v>
      </c>
      <c r="B125" s="2" t="s">
        <v>93</v>
      </c>
      <c r="C125" s="52">
        <v>26858.520479999981</v>
      </c>
      <c r="D125" s="52">
        <v>163053.22773518122</v>
      </c>
      <c r="E125" s="14"/>
      <c r="F125" s="14">
        <f t="shared" si="37"/>
        <v>-136194.70725518125</v>
      </c>
      <c r="G125" s="14"/>
      <c r="H125" s="14">
        <f t="shared" si="35"/>
        <v>26858.520479999977</v>
      </c>
      <c r="I125" s="53">
        <f t="shared" si="38"/>
        <v>0.16472240907503879</v>
      </c>
      <c r="K125" s="58" t="s">
        <v>115</v>
      </c>
      <c r="L125" s="58"/>
    </row>
    <row r="126" spans="1:12" ht="15" x14ac:dyDescent="0.25">
      <c r="A126" s="1">
        <v>9</v>
      </c>
      <c r="B126" s="23" t="s">
        <v>116</v>
      </c>
      <c r="C126" s="52">
        <v>6384</v>
      </c>
      <c r="D126" s="14">
        <v>0</v>
      </c>
      <c r="E126" s="14"/>
      <c r="F126" s="14">
        <f t="shared" si="37"/>
        <v>6384</v>
      </c>
      <c r="G126" s="14"/>
      <c r="H126" s="14">
        <f t="shared" si="35"/>
        <v>6384</v>
      </c>
      <c r="I126" s="53">
        <f t="shared" si="38"/>
        <v>0</v>
      </c>
      <c r="K126" s="58" t="s">
        <v>117</v>
      </c>
      <c r="L126" s="58"/>
    </row>
    <row r="127" spans="1:12" x14ac:dyDescent="0.2">
      <c r="C127" s="36"/>
      <c r="D127" s="36"/>
      <c r="E127" s="36"/>
      <c r="F127" s="43"/>
      <c r="H127" s="36"/>
      <c r="I127" s="54"/>
    </row>
    <row r="128" spans="1:12" ht="17.25" thickBot="1" x14ac:dyDescent="0.35">
      <c r="A128" s="1">
        <v>10</v>
      </c>
      <c r="B128" s="59" t="s">
        <v>118</v>
      </c>
      <c r="C128" s="60">
        <f>SUM(C116:C126)</f>
        <v>1717948.9398972169</v>
      </c>
      <c r="D128" s="60">
        <f>SUM(D116:D126)</f>
        <v>10404401.507694557</v>
      </c>
      <c r="E128" s="60"/>
      <c r="F128" s="60">
        <f>SUM(F116:F126)</f>
        <v>-8686452.5677973405</v>
      </c>
      <c r="G128" s="60"/>
      <c r="H128" s="60">
        <f>SUM(H116:H126)</f>
        <v>1717948.9398972164</v>
      </c>
      <c r="I128" s="61">
        <f>IF(D128&lt;&gt;0,C128/D128,0)</f>
        <v>0.16511751671893002</v>
      </c>
    </row>
    <row r="129" spans="1:18" ht="13.5" thickTop="1" x14ac:dyDescent="0.2">
      <c r="I129" s="54"/>
    </row>
    <row r="132" spans="1:18" x14ac:dyDescent="0.2">
      <c r="R132" s="1"/>
    </row>
    <row r="135" spans="1:18" x14ac:dyDescent="0.2">
      <c r="I135" s="4" t="s">
        <v>207</v>
      </c>
    </row>
    <row r="136" spans="1:18" x14ac:dyDescent="0.2">
      <c r="I136" s="4" t="s">
        <v>119</v>
      </c>
    </row>
    <row r="137" spans="1:18" x14ac:dyDescent="0.2">
      <c r="I137" s="5"/>
    </row>
    <row r="139" spans="1:18" x14ac:dyDescent="0.2">
      <c r="A139" s="6" t="str">
        <f>+A6</f>
        <v>NEWFOUNDLAND AND LABRADOR HYDRO</v>
      </c>
      <c r="B139" s="6"/>
      <c r="C139" s="6"/>
      <c r="D139" s="6"/>
      <c r="E139" s="6"/>
      <c r="F139" s="6"/>
      <c r="G139" s="6"/>
      <c r="H139" s="6"/>
      <c r="I139" s="6"/>
    </row>
    <row r="140" spans="1:18" x14ac:dyDescent="0.2">
      <c r="A140" s="6" t="str">
        <f>RunName</f>
        <v>2027 Test Year Cost of Service Study (Holyrood 18.43%)</v>
      </c>
      <c r="B140" s="6"/>
      <c r="C140" s="6"/>
      <c r="D140" s="6"/>
      <c r="E140" s="6"/>
      <c r="F140" s="6"/>
      <c r="G140" s="6"/>
      <c r="H140" s="6"/>
      <c r="I140" s="6"/>
    </row>
    <row r="141" spans="1:18" x14ac:dyDescent="0.2">
      <c r="A141" s="6" t="s">
        <v>65</v>
      </c>
      <c r="B141" s="6"/>
      <c r="C141" s="6"/>
      <c r="D141" s="6"/>
      <c r="E141" s="6"/>
      <c r="F141" s="6"/>
      <c r="G141" s="6"/>
      <c r="H141" s="6"/>
      <c r="I141" s="6"/>
    </row>
    <row r="142" spans="1:18" x14ac:dyDescent="0.2">
      <c r="A142" s="6" t="s">
        <v>9</v>
      </c>
      <c r="B142" s="6"/>
      <c r="C142" s="6"/>
      <c r="D142" s="6"/>
      <c r="E142" s="6"/>
      <c r="F142" s="6"/>
      <c r="G142" s="6"/>
      <c r="H142" s="6"/>
      <c r="I142" s="6"/>
    </row>
    <row r="143" spans="1:18" s="1" customFormat="1" x14ac:dyDescent="0.2"/>
    <row r="144" spans="1:18" s="1" customFormat="1" x14ac:dyDescent="0.2">
      <c r="B144" s="1">
        <f t="shared" ref="B144:I144" si="46">MAX(A144)+NoOne</f>
        <v>1</v>
      </c>
      <c r="C144" s="1">
        <f t="shared" si="46"/>
        <v>2</v>
      </c>
      <c r="D144" s="1">
        <f t="shared" si="46"/>
        <v>3</v>
      </c>
      <c r="E144" s="1">
        <f t="shared" si="46"/>
        <v>4</v>
      </c>
      <c r="F144" s="1">
        <f t="shared" si="46"/>
        <v>5</v>
      </c>
      <c r="G144" s="1">
        <f t="shared" si="46"/>
        <v>6</v>
      </c>
      <c r="H144" s="1">
        <v>6</v>
      </c>
      <c r="I144" s="1">
        <f t="shared" si="46"/>
        <v>7</v>
      </c>
    </row>
    <row r="145" spans="1:18" s="1" customFormat="1" x14ac:dyDescent="0.2"/>
    <row r="146" spans="1:18" x14ac:dyDescent="0.2">
      <c r="B146" s="1"/>
      <c r="C146" s="1"/>
      <c r="D146" s="8" t="s">
        <v>12</v>
      </c>
      <c r="E146" s="1"/>
      <c r="F146" s="1"/>
      <c r="H146" s="8" t="s">
        <v>13</v>
      </c>
      <c r="I146" s="1" t="s">
        <v>14</v>
      </c>
    </row>
    <row r="147" spans="1:18" x14ac:dyDescent="0.2">
      <c r="A147" s="1" t="s">
        <v>17</v>
      </c>
      <c r="B147" s="1"/>
      <c r="C147" s="1"/>
      <c r="D147" s="1" t="s">
        <v>18</v>
      </c>
      <c r="E147" s="1" t="s">
        <v>14</v>
      </c>
      <c r="F147" s="1"/>
      <c r="G147" s="8" t="s">
        <v>19</v>
      </c>
      <c r="H147" s="8" t="s">
        <v>20</v>
      </c>
      <c r="I147" s="1" t="s">
        <v>21</v>
      </c>
    </row>
    <row r="148" spans="1:18" x14ac:dyDescent="0.2">
      <c r="A148" s="1" t="s">
        <v>25</v>
      </c>
      <c r="B148" s="1" t="s">
        <v>26</v>
      </c>
      <c r="C148" s="1" t="s">
        <v>27</v>
      </c>
      <c r="D148" s="1" t="s">
        <v>28</v>
      </c>
      <c r="E148" s="1" t="s">
        <v>71</v>
      </c>
      <c r="F148" s="1" t="s">
        <v>30</v>
      </c>
      <c r="G148" s="1" t="s">
        <v>31</v>
      </c>
      <c r="H148" s="1" t="s">
        <v>28</v>
      </c>
      <c r="I148" s="1" t="s">
        <v>32</v>
      </c>
    </row>
    <row r="149" spans="1:18" x14ac:dyDescent="0.2">
      <c r="B149" s="1"/>
      <c r="C149" s="1"/>
      <c r="D149" s="1"/>
      <c r="E149" s="1"/>
      <c r="F149" s="1"/>
      <c r="H149" s="11" t="s">
        <v>38</v>
      </c>
      <c r="I149" s="1" t="s">
        <v>39</v>
      </c>
    </row>
    <row r="150" spans="1:18" x14ac:dyDescent="0.2">
      <c r="B150" s="1"/>
      <c r="C150" s="1" t="s">
        <v>40</v>
      </c>
      <c r="D150" s="1" t="s">
        <v>40</v>
      </c>
      <c r="E150" s="1" t="s">
        <v>40</v>
      </c>
      <c r="F150" s="1" t="s">
        <v>40</v>
      </c>
      <c r="G150" s="1" t="s">
        <v>40</v>
      </c>
      <c r="H150" s="1" t="s">
        <v>40</v>
      </c>
      <c r="I150" s="1"/>
    </row>
    <row r="153" spans="1:18" x14ac:dyDescent="0.2">
      <c r="B153" s="16" t="s">
        <v>65</v>
      </c>
    </row>
    <row r="154" spans="1:18" ht="15" x14ac:dyDescent="0.25">
      <c r="A154" s="1">
        <f t="shared" ref="A154" si="47">MAX(A151:A153)+NoOne</f>
        <v>1</v>
      </c>
      <c r="B154" s="2" t="s">
        <v>98</v>
      </c>
      <c r="C154" s="52">
        <v>4669502.3740669573</v>
      </c>
      <c r="D154" s="14">
        <v>25171515.047610119</v>
      </c>
      <c r="E154" s="14"/>
      <c r="F154" s="14">
        <f>C154-D154</f>
        <v>-20502012.673543163</v>
      </c>
      <c r="G154" s="14"/>
      <c r="H154" s="14">
        <f t="shared" ref="H154:H164" si="48">SUM(D154,F154)</f>
        <v>4669502.3740669563</v>
      </c>
      <c r="I154" s="53">
        <f>IF(D154&lt;&gt;0,C154/D154,0)</f>
        <v>0.18550740252364339</v>
      </c>
      <c r="K154" s="2" t="s">
        <v>120</v>
      </c>
    </row>
    <row r="155" spans="1:18" ht="15" x14ac:dyDescent="0.25">
      <c r="A155" s="1">
        <f t="shared" ref="A155" si="49">MAX(A152:A154)+NoOne</f>
        <v>2</v>
      </c>
      <c r="B155" s="2" t="s">
        <v>100</v>
      </c>
      <c r="C155" s="52">
        <v>945103.9988196888</v>
      </c>
      <c r="D155" s="14">
        <v>894392.75602439465</v>
      </c>
      <c r="E155" s="14"/>
      <c r="F155" s="14">
        <f t="shared" ref="F155:F163" si="50">C155-D155</f>
        <v>50711.242795294151</v>
      </c>
      <c r="G155" s="14"/>
      <c r="H155" s="14">
        <f t="shared" si="48"/>
        <v>945103.9988196888</v>
      </c>
      <c r="I155" s="53">
        <f t="shared" ref="I155:I164" si="51">IF(D155&lt;&gt;0,C155/D155,0)</f>
        <v>1.0566990759414323</v>
      </c>
      <c r="K155" s="2" t="s">
        <v>121</v>
      </c>
    </row>
    <row r="156" spans="1:18" ht="15" x14ac:dyDescent="0.25">
      <c r="A156" s="1">
        <f t="shared" ref="A156" si="52">MAX(A153:A155)+NoOne</f>
        <v>3</v>
      </c>
      <c r="B156" s="23" t="s">
        <v>102</v>
      </c>
      <c r="C156" s="52">
        <v>328741.89270779031</v>
      </c>
      <c r="D156" s="14">
        <v>1337649.2549823974</v>
      </c>
      <c r="E156" s="14"/>
      <c r="F156" s="14">
        <f t="shared" si="50"/>
        <v>-1008907.3622746072</v>
      </c>
      <c r="G156" s="14"/>
      <c r="H156" s="14">
        <f t="shared" si="48"/>
        <v>328741.89270779025</v>
      </c>
      <c r="I156" s="53">
        <f t="shared" si="51"/>
        <v>0.24576090592007718</v>
      </c>
      <c r="K156" s="2" t="s">
        <v>122</v>
      </c>
    </row>
    <row r="157" spans="1:18" ht="15" x14ac:dyDescent="0.25">
      <c r="A157" s="1">
        <f t="shared" ref="A157" si="53">MAX(A154:A156)+NoOne</f>
        <v>4</v>
      </c>
      <c r="B157" s="2" t="s">
        <v>104</v>
      </c>
      <c r="C157" s="52">
        <v>1505529.9763934463</v>
      </c>
      <c r="D157" s="14">
        <v>3692362.2730602482</v>
      </c>
      <c r="E157" s="14"/>
      <c r="F157" s="14">
        <f t="shared" si="50"/>
        <v>-2186832.2966668019</v>
      </c>
      <c r="G157" s="14"/>
      <c r="H157" s="14">
        <f t="shared" si="48"/>
        <v>1505529.9763934463</v>
      </c>
      <c r="I157" s="53">
        <f t="shared" si="51"/>
        <v>0.40774167458537475</v>
      </c>
      <c r="K157" s="2" t="s">
        <v>123</v>
      </c>
    </row>
    <row r="158" spans="1:18" ht="15" x14ac:dyDescent="0.25">
      <c r="A158" s="1">
        <f t="shared" ref="A158" si="54">MAX(A155:A157)+NoOne</f>
        <v>5</v>
      </c>
      <c r="B158" s="2" t="s">
        <v>106</v>
      </c>
      <c r="C158" s="52">
        <v>3760678.8175117802</v>
      </c>
      <c r="D158" s="14">
        <v>9555598.3239415344</v>
      </c>
      <c r="E158" s="14"/>
      <c r="F158" s="14">
        <f t="shared" si="50"/>
        <v>-5794919.5064297542</v>
      </c>
      <c r="G158" s="14"/>
      <c r="H158" s="14">
        <f t="shared" si="48"/>
        <v>3760678.8175117802</v>
      </c>
      <c r="I158" s="53">
        <f t="shared" si="51"/>
        <v>0.39355764966484685</v>
      </c>
      <c r="K158" s="2" t="s">
        <v>124</v>
      </c>
    </row>
    <row r="159" spans="1:18" ht="15" x14ac:dyDescent="0.25">
      <c r="A159" s="1">
        <f t="shared" ref="A159" si="55">MAX(A156:A158)+NoOne</f>
        <v>6</v>
      </c>
      <c r="B159" s="2" t="s">
        <v>108</v>
      </c>
      <c r="C159" s="52">
        <v>364087.48779334419</v>
      </c>
      <c r="D159" s="14">
        <v>1830406.5511158232</v>
      </c>
      <c r="E159" s="14"/>
      <c r="F159" s="14">
        <f t="shared" si="50"/>
        <v>-1466319.0633224789</v>
      </c>
      <c r="G159" s="14"/>
      <c r="H159" s="14">
        <f t="shared" si="48"/>
        <v>364087.48779334431</v>
      </c>
      <c r="I159" s="53">
        <f t="shared" si="51"/>
        <v>0.19891072153964648</v>
      </c>
      <c r="K159" s="2" t="s">
        <v>125</v>
      </c>
    </row>
    <row r="160" spans="1:18" ht="15" x14ac:dyDescent="0.25">
      <c r="A160" s="1">
        <f t="shared" ref="A160" si="56">MAX(A157:A159)+NoOne</f>
        <v>7</v>
      </c>
      <c r="B160" s="2" t="s">
        <v>91</v>
      </c>
      <c r="C160" s="52">
        <v>245159.76993788074</v>
      </c>
      <c r="D160" s="14">
        <v>1373674.8775542325</v>
      </c>
      <c r="E160" s="14"/>
      <c r="F160" s="14">
        <f t="shared" si="50"/>
        <v>-1128515.1076163517</v>
      </c>
      <c r="G160" s="14"/>
      <c r="H160" s="14">
        <f t="shared" si="48"/>
        <v>245159.7699378808</v>
      </c>
      <c r="I160" s="53">
        <f t="shared" si="51"/>
        <v>0.17847001058531178</v>
      </c>
      <c r="K160" s="2" t="s">
        <v>126</v>
      </c>
      <c r="R160" s="1"/>
    </row>
    <row r="161" spans="1:11" ht="15" hidden="1" x14ac:dyDescent="0.25">
      <c r="A161" s="1">
        <f t="shared" ref="A161" si="57">MAX(A158:A160)+NoOne</f>
        <v>8</v>
      </c>
      <c r="B161" s="2" t="s">
        <v>111</v>
      </c>
      <c r="C161" s="52">
        <v>0</v>
      </c>
      <c r="D161" s="14">
        <v>0</v>
      </c>
      <c r="E161" s="14"/>
      <c r="F161" s="14">
        <f t="shared" si="50"/>
        <v>0</v>
      </c>
      <c r="G161" s="14"/>
      <c r="H161" s="14">
        <f t="shared" si="48"/>
        <v>0</v>
      </c>
      <c r="I161" s="53">
        <f t="shared" si="51"/>
        <v>0</v>
      </c>
      <c r="K161" s="2" t="s">
        <v>127</v>
      </c>
    </row>
    <row r="162" spans="1:11" ht="15" hidden="1" x14ac:dyDescent="0.25">
      <c r="A162" s="1">
        <f t="shared" ref="A162" si="58">MAX(A159:A161)+NoOne</f>
        <v>9</v>
      </c>
      <c r="B162" s="2" t="s">
        <v>113</v>
      </c>
      <c r="C162" s="52">
        <v>0</v>
      </c>
      <c r="D162" s="14">
        <v>0</v>
      </c>
      <c r="E162" s="14"/>
      <c r="F162" s="14">
        <f t="shared" si="50"/>
        <v>0</v>
      </c>
      <c r="G162" s="14"/>
      <c r="H162" s="14">
        <f t="shared" si="48"/>
        <v>0</v>
      </c>
      <c r="I162" s="53">
        <f t="shared" si="51"/>
        <v>0</v>
      </c>
      <c r="K162" s="2" t="s">
        <v>128</v>
      </c>
    </row>
    <row r="163" spans="1:11" ht="15" x14ac:dyDescent="0.25">
      <c r="A163" s="1">
        <v>8</v>
      </c>
      <c r="B163" s="2" t="s">
        <v>93</v>
      </c>
      <c r="C163" s="52">
        <v>144154.86624000021</v>
      </c>
      <c r="D163" s="14">
        <v>309889.10472647514</v>
      </c>
      <c r="E163" s="14"/>
      <c r="F163" s="14">
        <f t="shared" si="50"/>
        <v>-165734.23848647493</v>
      </c>
      <c r="G163" s="14"/>
      <c r="H163" s="14">
        <f t="shared" si="48"/>
        <v>144154.86624000021</v>
      </c>
      <c r="I163" s="53">
        <f t="shared" si="51"/>
        <v>0.46518210560270934</v>
      </c>
      <c r="K163" s="2" t="s">
        <v>129</v>
      </c>
    </row>
    <row r="164" spans="1:11" ht="15" x14ac:dyDescent="0.25">
      <c r="A164" s="1">
        <v>9</v>
      </c>
      <c r="B164" s="23" t="s">
        <v>116</v>
      </c>
      <c r="C164" s="52">
        <v>6384</v>
      </c>
      <c r="D164" s="14">
        <v>0</v>
      </c>
      <c r="E164" s="14"/>
      <c r="F164" s="14">
        <f>C164-D164</f>
        <v>6384</v>
      </c>
      <c r="G164" s="14"/>
      <c r="H164" s="14">
        <f t="shared" si="48"/>
        <v>6384</v>
      </c>
      <c r="I164" s="53">
        <f t="shared" si="51"/>
        <v>0</v>
      </c>
      <c r="K164" s="2" t="s">
        <v>130</v>
      </c>
    </row>
    <row r="165" spans="1:11" x14ac:dyDescent="0.2">
      <c r="C165" s="36"/>
      <c r="D165" s="36"/>
      <c r="E165" s="36"/>
      <c r="F165" s="43"/>
      <c r="H165" s="36"/>
      <c r="I165" s="54"/>
    </row>
    <row r="166" spans="1:11" ht="17.25" thickBot="1" x14ac:dyDescent="0.35">
      <c r="A166" s="1">
        <v>10</v>
      </c>
      <c r="B166" s="59" t="s">
        <v>118</v>
      </c>
      <c r="C166" s="60">
        <f>SUM(C154:C164)</f>
        <v>11969343.183470888</v>
      </c>
      <c r="D166" s="60">
        <f>SUM(D154:D164)</f>
        <v>44165488.189015225</v>
      </c>
      <c r="E166" s="60"/>
      <c r="F166" s="60">
        <f t="shared" ref="F166" si="59">C166-D166</f>
        <v>-32196145.005544335</v>
      </c>
      <c r="G166" s="60"/>
      <c r="H166" s="60">
        <f>SUM(H154:H164)</f>
        <v>11969343.183470888</v>
      </c>
      <c r="I166" s="61">
        <f>IF(D166&lt;&gt;0,C166/D166,0)</f>
        <v>0.27101122786746157</v>
      </c>
    </row>
    <row r="167" spans="1:11" ht="13.5" thickTop="1" x14ac:dyDescent="0.2"/>
    <row r="173" spans="1:11" x14ac:dyDescent="0.2">
      <c r="I173" s="4" t="s">
        <v>207</v>
      </c>
    </row>
    <row r="174" spans="1:11" x14ac:dyDescent="0.2">
      <c r="I174" s="4" t="s">
        <v>131</v>
      </c>
    </row>
    <row r="175" spans="1:11" x14ac:dyDescent="0.2">
      <c r="I175" s="5"/>
    </row>
    <row r="177" spans="1:18" x14ac:dyDescent="0.2">
      <c r="A177" s="6" t="str">
        <f>+A6</f>
        <v>NEWFOUNDLAND AND LABRADOR HYDRO</v>
      </c>
      <c r="B177" s="6"/>
      <c r="C177" s="6"/>
      <c r="D177" s="6"/>
      <c r="E177" s="6"/>
      <c r="F177" s="6"/>
      <c r="G177" s="6"/>
      <c r="H177" s="6"/>
      <c r="I177" s="6"/>
    </row>
    <row r="178" spans="1:18" x14ac:dyDescent="0.2">
      <c r="A178" s="6" t="str">
        <f>RunName</f>
        <v>2027 Test Year Cost of Service Study (Holyrood 18.43%)</v>
      </c>
      <c r="B178" s="6"/>
      <c r="C178" s="6"/>
      <c r="D178" s="6"/>
      <c r="E178" s="6"/>
      <c r="F178" s="6"/>
      <c r="G178" s="6"/>
      <c r="H178" s="6"/>
      <c r="I178" s="6"/>
    </row>
    <row r="179" spans="1:18" x14ac:dyDescent="0.2">
      <c r="A179" s="6" t="s">
        <v>66</v>
      </c>
      <c r="B179" s="6"/>
      <c r="C179" s="6"/>
      <c r="D179" s="6"/>
      <c r="E179" s="6"/>
      <c r="F179" s="6"/>
      <c r="G179" s="6"/>
      <c r="H179" s="6"/>
      <c r="I179" s="6"/>
    </row>
    <row r="180" spans="1:18" x14ac:dyDescent="0.2">
      <c r="A180" s="6" t="s">
        <v>9</v>
      </c>
      <c r="B180" s="6"/>
      <c r="C180" s="6"/>
      <c r="D180" s="6"/>
      <c r="E180" s="6"/>
      <c r="F180" s="6"/>
      <c r="G180" s="6"/>
      <c r="H180" s="6"/>
      <c r="I180" s="6"/>
    </row>
    <row r="181" spans="1:18" s="1" customFormat="1" x14ac:dyDescent="0.2"/>
    <row r="182" spans="1:18" s="1" customFormat="1" x14ac:dyDescent="0.2">
      <c r="B182" s="1">
        <f t="shared" ref="B182:I182" si="60">MAX(A182)+NoOne</f>
        <v>1</v>
      </c>
      <c r="C182" s="1">
        <f t="shared" si="60"/>
        <v>2</v>
      </c>
      <c r="D182" s="1">
        <f t="shared" si="60"/>
        <v>3</v>
      </c>
      <c r="E182" s="1">
        <f t="shared" si="60"/>
        <v>4</v>
      </c>
      <c r="F182" s="1">
        <f t="shared" si="60"/>
        <v>5</v>
      </c>
      <c r="G182" s="1">
        <f t="shared" si="60"/>
        <v>6</v>
      </c>
      <c r="H182" s="1">
        <v>6</v>
      </c>
      <c r="I182" s="1">
        <f t="shared" si="60"/>
        <v>7</v>
      </c>
    </row>
    <row r="183" spans="1:18" s="1" customFormat="1" x14ac:dyDescent="0.2"/>
    <row r="184" spans="1:18" x14ac:dyDescent="0.2">
      <c r="B184" s="1"/>
      <c r="C184" s="1"/>
      <c r="D184" s="8" t="s">
        <v>12</v>
      </c>
      <c r="E184" s="1"/>
      <c r="F184" s="1"/>
      <c r="H184" s="8" t="s">
        <v>13</v>
      </c>
      <c r="I184" s="1" t="s">
        <v>14</v>
      </c>
    </row>
    <row r="185" spans="1:18" x14ac:dyDescent="0.2">
      <c r="A185" s="1" t="s">
        <v>17</v>
      </c>
      <c r="B185" s="1"/>
      <c r="C185" s="1"/>
      <c r="D185" s="1" t="s">
        <v>18</v>
      </c>
      <c r="E185" s="1" t="s">
        <v>14</v>
      </c>
      <c r="F185" s="1"/>
      <c r="G185" s="8" t="s">
        <v>19</v>
      </c>
      <c r="H185" s="8" t="s">
        <v>20</v>
      </c>
      <c r="I185" s="1" t="s">
        <v>21</v>
      </c>
    </row>
    <row r="186" spans="1:18" ht="13.5" customHeight="1" x14ac:dyDescent="0.2">
      <c r="A186" s="1" t="s">
        <v>25</v>
      </c>
      <c r="B186" s="1" t="s">
        <v>26</v>
      </c>
      <c r="C186" s="1" t="s">
        <v>27</v>
      </c>
      <c r="D186" s="1" t="s">
        <v>28</v>
      </c>
      <c r="E186" s="1" t="s">
        <v>71</v>
      </c>
      <c r="F186" s="1" t="s">
        <v>30</v>
      </c>
      <c r="G186" s="1" t="s">
        <v>31</v>
      </c>
      <c r="H186" s="1" t="s">
        <v>28</v>
      </c>
      <c r="I186" s="1" t="s">
        <v>32</v>
      </c>
    </row>
    <row r="187" spans="1:18" ht="13.5" customHeight="1" x14ac:dyDescent="0.2">
      <c r="B187" s="1"/>
      <c r="C187" s="1"/>
      <c r="D187" s="1"/>
      <c r="E187" s="1"/>
      <c r="F187" s="1"/>
      <c r="H187" s="11" t="s">
        <v>38</v>
      </c>
      <c r="I187" s="1" t="s">
        <v>39</v>
      </c>
    </row>
    <row r="188" spans="1:18" ht="13.5" customHeight="1" x14ac:dyDescent="0.2">
      <c r="C188" s="1" t="s">
        <v>40</v>
      </c>
      <c r="D188" s="1" t="s">
        <v>40</v>
      </c>
      <c r="E188" s="1" t="s">
        <v>40</v>
      </c>
      <c r="F188" s="1" t="s">
        <v>40</v>
      </c>
      <c r="G188" s="1" t="s">
        <v>40</v>
      </c>
      <c r="H188" s="1" t="s">
        <v>40</v>
      </c>
      <c r="R188" s="1"/>
    </row>
    <row r="190" spans="1:18" x14ac:dyDescent="0.2">
      <c r="B190" s="16" t="s">
        <v>66</v>
      </c>
    </row>
    <row r="191" spans="1:18" ht="15" x14ac:dyDescent="0.25">
      <c r="A191" s="1">
        <f t="shared" ref="A191" si="61">MAX(A188:A190)+NoOne</f>
        <v>1</v>
      </c>
      <c r="B191" s="2" t="s">
        <v>79</v>
      </c>
      <c r="C191" s="52">
        <v>828511.29480396374</v>
      </c>
      <c r="D191" s="14">
        <v>2224303.689135131</v>
      </c>
      <c r="E191" s="14"/>
      <c r="F191" s="14">
        <f>C191-D191</f>
        <v>-1395792.3943311672</v>
      </c>
      <c r="G191" s="14"/>
      <c r="H191" s="14">
        <f t="shared" ref="H191:H196" si="62">SUM(D191,F191)</f>
        <v>828511.29480396374</v>
      </c>
      <c r="I191" s="53">
        <f t="shared" ref="I191:I196" si="63">IF(D191&lt;&gt;0,C191/D191,0)</f>
        <v>0.37248119438497679</v>
      </c>
      <c r="K191" s="2" t="s">
        <v>132</v>
      </c>
    </row>
    <row r="192" spans="1:18" ht="15" x14ac:dyDescent="0.25">
      <c r="A192" s="1">
        <f t="shared" ref="A192" si="64">MAX(A189:A191)+NoOne</f>
        <v>2</v>
      </c>
      <c r="B192" s="2" t="s">
        <v>81</v>
      </c>
      <c r="C192" s="52">
        <v>1782546.8304509185</v>
      </c>
      <c r="D192" s="14">
        <v>4421636.5928514004</v>
      </c>
      <c r="E192" s="14"/>
      <c r="F192" s="14">
        <f t="shared" ref="F192:F198" si="65">C192-D192</f>
        <v>-2639089.7624004818</v>
      </c>
      <c r="G192" s="14"/>
      <c r="H192" s="14">
        <f t="shared" si="62"/>
        <v>1782546.8304509185</v>
      </c>
      <c r="I192" s="53">
        <f t="shared" si="63"/>
        <v>0.40314186682207631</v>
      </c>
      <c r="K192" s="2" t="s">
        <v>133</v>
      </c>
    </row>
    <row r="193" spans="1:11" ht="15" x14ac:dyDescent="0.25">
      <c r="A193" s="1">
        <f t="shared" ref="A193" si="66">MAX(A190:A192)+NoOne</f>
        <v>3</v>
      </c>
      <c r="B193" s="2" t="s">
        <v>85</v>
      </c>
      <c r="C193" s="52">
        <v>1046117.9889364933</v>
      </c>
      <c r="D193" s="14">
        <v>2332949.6198429321</v>
      </c>
      <c r="E193" s="14"/>
      <c r="F193" s="14">
        <f t="shared" si="65"/>
        <v>-1286831.6309064389</v>
      </c>
      <c r="G193" s="14"/>
      <c r="H193" s="14">
        <f t="shared" si="62"/>
        <v>1046117.9889364932</v>
      </c>
      <c r="I193" s="53">
        <f t="shared" si="63"/>
        <v>0.44841002139039937</v>
      </c>
      <c r="K193" s="2" t="s">
        <v>134</v>
      </c>
    </row>
    <row r="194" spans="1:11" ht="15" x14ac:dyDescent="0.25">
      <c r="A194" s="1">
        <f t="shared" ref="A194" si="67">MAX(A191:A193)+NoOne</f>
        <v>4</v>
      </c>
      <c r="B194" s="2" t="s">
        <v>87</v>
      </c>
      <c r="C194" s="52">
        <v>0</v>
      </c>
      <c r="D194" s="14">
        <v>0</v>
      </c>
      <c r="E194" s="14"/>
      <c r="F194" s="14">
        <f t="shared" si="65"/>
        <v>0</v>
      </c>
      <c r="G194" s="14"/>
      <c r="H194" s="14">
        <f t="shared" si="62"/>
        <v>0</v>
      </c>
      <c r="I194" s="53">
        <f t="shared" si="63"/>
        <v>0</v>
      </c>
      <c r="K194" s="2" t="s">
        <v>135</v>
      </c>
    </row>
    <row r="195" spans="1:11" ht="15" x14ac:dyDescent="0.25">
      <c r="A195" s="1">
        <f t="shared" ref="A195" si="68">MAX(A192:A194)+NoOne</f>
        <v>5</v>
      </c>
      <c r="B195" s="2" t="s">
        <v>89</v>
      </c>
      <c r="C195" s="52">
        <v>354037.29560906265</v>
      </c>
      <c r="D195" s="14">
        <v>690869.19849230337</v>
      </c>
      <c r="E195" s="14"/>
      <c r="F195" s="14">
        <f t="shared" si="65"/>
        <v>-336831.90288324072</v>
      </c>
      <c r="G195" s="14"/>
      <c r="H195" s="14">
        <f t="shared" si="62"/>
        <v>354037.29560906265</v>
      </c>
      <c r="I195" s="53">
        <f t="shared" si="63"/>
        <v>0.51245199001733588</v>
      </c>
      <c r="K195" s="2" t="s">
        <v>136</v>
      </c>
    </row>
    <row r="196" spans="1:11" ht="15" x14ac:dyDescent="0.25">
      <c r="A196" s="1">
        <f t="shared" ref="A196" si="69">MAX(A193:A195)+NoOne</f>
        <v>6</v>
      </c>
      <c r="B196" s="2" t="s">
        <v>93</v>
      </c>
      <c r="C196" s="52">
        <v>65923.096800000043</v>
      </c>
      <c r="D196" s="14">
        <v>88736.764789395194</v>
      </c>
      <c r="E196" s="62"/>
      <c r="F196" s="62">
        <f t="shared" si="65"/>
        <v>-22813.667989395151</v>
      </c>
      <c r="G196" s="14"/>
      <c r="H196" s="62">
        <f t="shared" si="62"/>
        <v>65923.096800000043</v>
      </c>
      <c r="I196" s="53">
        <f t="shared" si="63"/>
        <v>0.74290624586618259</v>
      </c>
      <c r="K196" s="2" t="s">
        <v>137</v>
      </c>
    </row>
    <row r="197" spans="1:11" x14ac:dyDescent="0.2">
      <c r="C197" s="36"/>
      <c r="D197" s="36"/>
      <c r="E197" s="36"/>
      <c r="F197" s="43"/>
      <c r="H197" s="36"/>
      <c r="I197" s="54"/>
    </row>
    <row r="198" spans="1:11" ht="13.5" thickBot="1" x14ac:dyDescent="0.25">
      <c r="A198" s="1">
        <v>7</v>
      </c>
      <c r="B198" s="16" t="s">
        <v>138</v>
      </c>
      <c r="C198" s="60">
        <f>SUM(C191:C196)</f>
        <v>4077136.5066004382</v>
      </c>
      <c r="D198" s="60">
        <f>SUM(D191:D196)</f>
        <v>9758495.865111161</v>
      </c>
      <c r="E198" s="60"/>
      <c r="F198" s="60">
        <f t="shared" si="65"/>
        <v>-5681359.3585107233</v>
      </c>
      <c r="G198" s="60"/>
      <c r="H198" s="63">
        <f>SUM(H191:H196)</f>
        <v>4077136.5066004382</v>
      </c>
      <c r="I198" s="61">
        <f>IF(D198&lt;&gt;0,C198/D198,0)</f>
        <v>0.41780378482068403</v>
      </c>
    </row>
    <row r="199" spans="1:11" ht="13.5" thickTop="1" x14ac:dyDescent="0.2"/>
    <row r="205" spans="1:11" x14ac:dyDescent="0.2">
      <c r="I205" s="4" t="s">
        <v>207</v>
      </c>
    </row>
    <row r="206" spans="1:11" x14ac:dyDescent="0.2">
      <c r="I206" s="4" t="s">
        <v>139</v>
      </c>
    </row>
    <row r="207" spans="1:11" x14ac:dyDescent="0.2">
      <c r="I207" s="5"/>
    </row>
    <row r="208" spans="1:11" x14ac:dyDescent="0.2">
      <c r="A208" s="6" t="str">
        <f>+A6</f>
        <v>NEWFOUNDLAND AND LABRADOR HYDRO</v>
      </c>
      <c r="B208" s="6"/>
      <c r="C208" s="6"/>
      <c r="D208" s="6"/>
      <c r="E208" s="6"/>
      <c r="F208" s="6"/>
      <c r="G208" s="6"/>
      <c r="H208" s="6"/>
      <c r="I208" s="6"/>
    </row>
    <row r="209" spans="1:18" x14ac:dyDescent="0.2">
      <c r="A209" s="6" t="str">
        <f>RunName</f>
        <v>2027 Test Year Cost of Service Study (Holyrood 18.43%)</v>
      </c>
      <c r="B209" s="6"/>
      <c r="C209" s="6"/>
      <c r="D209" s="6"/>
      <c r="E209" s="6"/>
      <c r="F209" s="6"/>
      <c r="G209" s="6"/>
      <c r="H209" s="6"/>
      <c r="I209" s="6"/>
    </row>
    <row r="210" spans="1:18" x14ac:dyDescent="0.2">
      <c r="A210" s="6" t="s">
        <v>140</v>
      </c>
      <c r="B210" s="6"/>
      <c r="C210" s="6"/>
      <c r="D210" s="6"/>
      <c r="E210" s="6"/>
      <c r="F210" s="6"/>
      <c r="G210" s="6"/>
      <c r="H210" s="6"/>
      <c r="I210" s="6"/>
    </row>
    <row r="211" spans="1:18" x14ac:dyDescent="0.2">
      <c r="A211" s="6" t="s">
        <v>9</v>
      </c>
      <c r="B211" s="6"/>
      <c r="C211" s="6"/>
      <c r="D211" s="6"/>
      <c r="E211" s="6"/>
      <c r="F211" s="6"/>
      <c r="G211" s="6"/>
      <c r="H211" s="6"/>
      <c r="I211" s="6"/>
    </row>
    <row r="212" spans="1:18" x14ac:dyDescent="0.2">
      <c r="B212" s="1">
        <f t="shared" ref="B212:I212" si="70">MAX(A212)+NoOne</f>
        <v>1</v>
      </c>
      <c r="C212" s="1">
        <f t="shared" si="70"/>
        <v>2</v>
      </c>
      <c r="D212" s="1">
        <f t="shared" si="70"/>
        <v>3</v>
      </c>
      <c r="E212" s="1">
        <f t="shared" si="70"/>
        <v>4</v>
      </c>
      <c r="F212" s="1">
        <f t="shared" si="70"/>
        <v>5</v>
      </c>
      <c r="G212" s="1">
        <f t="shared" si="70"/>
        <v>6</v>
      </c>
      <c r="H212" s="1">
        <v>6</v>
      </c>
      <c r="I212" s="1">
        <f t="shared" si="70"/>
        <v>7</v>
      </c>
    </row>
    <row r="213" spans="1:18" x14ac:dyDescent="0.2">
      <c r="G213" s="1"/>
      <c r="H213" s="1"/>
      <c r="I213" s="1"/>
    </row>
    <row r="214" spans="1:18" x14ac:dyDescent="0.2">
      <c r="B214" s="1"/>
      <c r="C214" s="1"/>
      <c r="D214" s="8" t="s">
        <v>12</v>
      </c>
      <c r="E214" s="1"/>
      <c r="F214" s="1"/>
      <c r="H214" s="8" t="s">
        <v>13</v>
      </c>
      <c r="I214" s="1" t="s">
        <v>14</v>
      </c>
    </row>
    <row r="215" spans="1:18" x14ac:dyDescent="0.2">
      <c r="A215" s="1" t="s">
        <v>17</v>
      </c>
      <c r="B215" s="1"/>
      <c r="C215" s="1"/>
      <c r="D215" s="1" t="s">
        <v>18</v>
      </c>
      <c r="E215" s="1" t="s">
        <v>14</v>
      </c>
      <c r="F215" s="1" t="s">
        <v>30</v>
      </c>
      <c r="G215" s="8" t="s">
        <v>19</v>
      </c>
      <c r="H215" s="8" t="s">
        <v>20</v>
      </c>
      <c r="I215" s="1" t="s">
        <v>21</v>
      </c>
    </row>
    <row r="216" spans="1:18" x14ac:dyDescent="0.2">
      <c r="A216" s="1" t="s">
        <v>25</v>
      </c>
      <c r="B216" s="1" t="s">
        <v>26</v>
      </c>
      <c r="C216" s="1" t="s">
        <v>27</v>
      </c>
      <c r="D216" s="1" t="s">
        <v>28</v>
      </c>
      <c r="E216" s="1" t="s">
        <v>71</v>
      </c>
      <c r="F216" s="1" t="s">
        <v>72</v>
      </c>
      <c r="G216" s="1" t="s">
        <v>31</v>
      </c>
      <c r="H216" s="1" t="s">
        <v>28</v>
      </c>
      <c r="I216" s="1" t="s">
        <v>32</v>
      </c>
      <c r="R216" s="1"/>
    </row>
    <row r="217" spans="1:18" ht="15" x14ac:dyDescent="0.25">
      <c r="B217" s="1"/>
      <c r="C217" s="64"/>
      <c r="D217" s="64"/>
      <c r="E217" s="64"/>
      <c r="F217" s="64"/>
      <c r="H217" s="11" t="s">
        <v>38</v>
      </c>
      <c r="I217" s="1" t="s">
        <v>39</v>
      </c>
    </row>
    <row r="218" spans="1:18" ht="15" x14ac:dyDescent="0.25">
      <c r="B218" s="1"/>
      <c r="C218" s="64" t="s">
        <v>40</v>
      </c>
      <c r="D218" s="64" t="s">
        <v>40</v>
      </c>
      <c r="E218" s="64" t="s">
        <v>40</v>
      </c>
      <c r="F218" s="64" t="s">
        <v>40</v>
      </c>
      <c r="G218" s="1" t="s">
        <v>40</v>
      </c>
      <c r="H218" s="1" t="s">
        <v>40</v>
      </c>
      <c r="I218" s="1"/>
    </row>
    <row r="219" spans="1:18" ht="15" x14ac:dyDescent="0.25">
      <c r="B219" s="16" t="s">
        <v>140</v>
      </c>
      <c r="C219" s="53"/>
      <c r="D219" s="53"/>
      <c r="E219" s="53"/>
      <c r="F219" s="53"/>
      <c r="H219" s="53"/>
    </row>
    <row r="220" spans="1:18" ht="15" x14ac:dyDescent="0.25">
      <c r="A220" s="1">
        <v>1</v>
      </c>
      <c r="B220" s="2" t="s">
        <v>141</v>
      </c>
      <c r="C220" s="65">
        <v>9171997.7694181111</v>
      </c>
      <c r="D220" s="14">
        <v>9172199.8960632775</v>
      </c>
      <c r="E220" s="14"/>
      <c r="F220" s="20">
        <f>$F$27*(D220/SUM($D$220:$D$221))</f>
        <v>0</v>
      </c>
      <c r="G220" s="14"/>
      <c r="H220" s="14">
        <f>SUM(D220:F220)</f>
        <v>9172199.8960632775</v>
      </c>
      <c r="I220" s="53">
        <f t="shared" ref="I220:I221" si="71">IF(H220&lt;&gt;0,C220/H220,0)</f>
        <v>0.99997796312253806</v>
      </c>
      <c r="J220" s="13"/>
      <c r="K220" s="13"/>
      <c r="L220" s="13"/>
    </row>
    <row r="221" spans="1:18" ht="15" x14ac:dyDescent="0.25">
      <c r="A221" s="1">
        <v>2</v>
      </c>
      <c r="B221" s="2" t="s">
        <v>142</v>
      </c>
      <c r="C221" s="20">
        <f>+D221</f>
        <v>0</v>
      </c>
      <c r="D221" s="14">
        <v>0</v>
      </c>
      <c r="E221" s="14"/>
      <c r="F221" s="20">
        <f>$F$27*(D221/SUM($D$220:$D$221))</f>
        <v>0</v>
      </c>
      <c r="G221" s="14"/>
      <c r="H221" s="14">
        <f>SUM(D221:F221)</f>
        <v>0</v>
      </c>
      <c r="I221" s="53">
        <f t="shared" si="71"/>
        <v>0</v>
      </c>
    </row>
    <row r="222" spans="1:18" ht="15" x14ac:dyDescent="0.25">
      <c r="C222" s="20"/>
      <c r="D222" s="14"/>
      <c r="E222" s="14"/>
      <c r="F222" s="20"/>
      <c r="H222" s="14"/>
      <c r="I222" s="54"/>
    </row>
    <row r="223" spans="1:18" x14ac:dyDescent="0.2">
      <c r="A223" s="1">
        <v>3</v>
      </c>
      <c r="B223" s="16" t="s">
        <v>77</v>
      </c>
      <c r="C223" s="31">
        <f>+C220+C221+C222</f>
        <v>9171997.7694181111</v>
      </c>
      <c r="D223" s="31">
        <f>+D220+D221+D222</f>
        <v>9172199.8960632775</v>
      </c>
      <c r="E223" s="31">
        <f>+E220+E221+E222</f>
        <v>0</v>
      </c>
      <c r="F223" s="31">
        <f>+F220+F221</f>
        <v>0</v>
      </c>
      <c r="G223" s="31"/>
      <c r="H223" s="31">
        <f>+H220+H221+H222</f>
        <v>9172199.8960632775</v>
      </c>
      <c r="I223" s="32"/>
    </row>
    <row r="224" spans="1:18" ht="15" x14ac:dyDescent="0.25">
      <c r="C224" s="20"/>
      <c r="D224" s="14"/>
      <c r="E224" s="14"/>
      <c r="F224" s="20"/>
      <c r="H224" s="14"/>
      <c r="I224" s="54"/>
    </row>
    <row r="225" spans="1:14" ht="15" x14ac:dyDescent="0.25">
      <c r="A225" s="1">
        <v>4</v>
      </c>
      <c r="B225" s="2" t="s">
        <v>54</v>
      </c>
      <c r="C225" s="66">
        <v>0</v>
      </c>
      <c r="D225" s="28">
        <v>0</v>
      </c>
      <c r="E225" s="28">
        <f>+E246</f>
        <v>0</v>
      </c>
      <c r="F225" s="28">
        <v>0</v>
      </c>
      <c r="H225" s="28">
        <f>SUM(D225:F225)</f>
        <v>0</v>
      </c>
      <c r="I225" s="53">
        <f>IF(H225&lt;&gt;0,C225/H225,0)</f>
        <v>0</v>
      </c>
    </row>
    <row r="226" spans="1:14" ht="15" x14ac:dyDescent="0.25">
      <c r="C226" s="67"/>
      <c r="D226" s="14"/>
      <c r="E226" s="14"/>
      <c r="F226" s="20"/>
      <c r="H226" s="14"/>
      <c r="I226" s="54"/>
    </row>
    <row r="227" spans="1:14" ht="15" x14ac:dyDescent="0.25">
      <c r="B227" s="16" t="s">
        <v>78</v>
      </c>
      <c r="C227" s="14"/>
      <c r="D227" s="14"/>
      <c r="E227" s="14"/>
      <c r="F227" s="20"/>
      <c r="H227" s="14"/>
    </row>
    <row r="228" spans="1:14" ht="15" x14ac:dyDescent="0.25">
      <c r="A228" s="1">
        <f t="shared" ref="A228" si="72">MAX(A225:A227)+NoOne</f>
        <v>5</v>
      </c>
      <c r="B228" s="2" t="s">
        <v>143</v>
      </c>
      <c r="C228" s="52">
        <v>106056.57772090579</v>
      </c>
      <c r="D228" s="14">
        <v>206447.62225798349</v>
      </c>
      <c r="E228" s="14">
        <f t="shared" ref="E228:E234" si="73">-$E$249*(D228/$D$236)</f>
        <v>0</v>
      </c>
      <c r="F228" s="33">
        <f t="shared" ref="F228:F234" si="74">(D228/$D$236)*$F$29</f>
        <v>22588.623425575977</v>
      </c>
      <c r="H228" s="14">
        <f t="shared" ref="H228:H234" si="75">SUM(D228:F228)</f>
        <v>229036.24568355945</v>
      </c>
      <c r="I228" s="53">
        <f>IF(H228&lt;&gt;0,C228/H228,0)</f>
        <v>0.46305586875291099</v>
      </c>
      <c r="K228" s="17" t="s">
        <v>144</v>
      </c>
      <c r="L228" s="17"/>
      <c r="M228" s="17"/>
    </row>
    <row r="229" spans="1:14" ht="15" x14ac:dyDescent="0.25">
      <c r="A229" s="1">
        <f t="shared" ref="A229" si="76">MAX(A226:A228)+NoOne</f>
        <v>6</v>
      </c>
      <c r="B229" s="2" t="s">
        <v>145</v>
      </c>
      <c r="C229" s="52">
        <v>11783491.397883454</v>
      </c>
      <c r="D229" s="14">
        <v>12172687.442218101</v>
      </c>
      <c r="E229" s="14">
        <f t="shared" si="73"/>
        <v>0</v>
      </c>
      <c r="F229" s="20">
        <f t="shared" si="74"/>
        <v>1331883.8439606647</v>
      </c>
      <c r="H229" s="14">
        <f t="shared" si="75"/>
        <v>13504571.286178766</v>
      </c>
      <c r="I229" s="53">
        <f t="shared" ref="I229:I234" si="77">IF(H229&lt;&gt;0,C229/H229,0)</f>
        <v>0.87255575524587381</v>
      </c>
      <c r="K229" s="17" t="s">
        <v>146</v>
      </c>
      <c r="L229" s="17"/>
      <c r="M229" s="17"/>
    </row>
    <row r="230" spans="1:14" ht="15" x14ac:dyDescent="0.25">
      <c r="A230" s="1">
        <f t="shared" ref="A230" si="78">MAX(A227:A229)+NoOne</f>
        <v>7</v>
      </c>
      <c r="B230" s="2" t="s">
        <v>104</v>
      </c>
      <c r="C230" s="52">
        <v>302008.10249600926</v>
      </c>
      <c r="D230" s="14">
        <v>302668.04169709131</v>
      </c>
      <c r="E230" s="14">
        <f t="shared" si="73"/>
        <v>0</v>
      </c>
      <c r="F230" s="20">
        <f t="shared" si="74"/>
        <v>33116.653716207846</v>
      </c>
      <c r="H230" s="14">
        <f t="shared" si="75"/>
        <v>335784.69541329914</v>
      </c>
      <c r="I230" s="53">
        <f t="shared" si="77"/>
        <v>0.8994099690108982</v>
      </c>
      <c r="K230" s="17" t="s">
        <v>147</v>
      </c>
      <c r="L230" s="17"/>
      <c r="M230" s="17"/>
      <c r="N230" s="17"/>
    </row>
    <row r="231" spans="1:14" ht="15" x14ac:dyDescent="0.25">
      <c r="A231" s="1">
        <f t="shared" ref="A231" si="79">MAX(A228:A230)+NoOne</f>
        <v>8</v>
      </c>
      <c r="B231" s="2" t="s">
        <v>87</v>
      </c>
      <c r="C231" s="52">
        <v>2488347.116955772</v>
      </c>
      <c r="D231" s="14">
        <v>1963428.7597446749</v>
      </c>
      <c r="E231" s="14">
        <f t="shared" si="73"/>
        <v>0</v>
      </c>
      <c r="F231" s="20">
        <f t="shared" si="74"/>
        <v>214830.04934489165</v>
      </c>
      <c r="H231" s="14">
        <f t="shared" si="75"/>
        <v>2178258.8090895666</v>
      </c>
      <c r="I231" s="53">
        <f t="shared" si="77"/>
        <v>1.1423560444572751</v>
      </c>
      <c r="K231" s="17" t="s">
        <v>148</v>
      </c>
      <c r="L231" s="17"/>
      <c r="M231" s="17"/>
    </row>
    <row r="232" spans="1:14" ht="15" x14ac:dyDescent="0.25">
      <c r="A232" s="1">
        <f t="shared" ref="A232" si="80">MAX(A229:A231)+NoOne</f>
        <v>9</v>
      </c>
      <c r="B232" s="2" t="s">
        <v>89</v>
      </c>
      <c r="C232" s="52">
        <v>4254475.8751962688</v>
      </c>
      <c r="D232" s="14">
        <v>2864081.8364553126</v>
      </c>
      <c r="E232" s="14">
        <f t="shared" si="73"/>
        <v>0</v>
      </c>
      <c r="F232" s="20">
        <f t="shared" si="74"/>
        <v>313375.68995042908</v>
      </c>
      <c r="H232" s="14">
        <f t="shared" si="75"/>
        <v>3177457.5264057415</v>
      </c>
      <c r="I232" s="53">
        <f t="shared" si="77"/>
        <v>1.3389560174573987</v>
      </c>
      <c r="K232" s="17" t="s">
        <v>149</v>
      </c>
      <c r="L232" s="17"/>
      <c r="M232" s="17"/>
    </row>
    <row r="233" spans="1:14" ht="15" x14ac:dyDescent="0.25">
      <c r="A233" s="1">
        <f t="shared" ref="A233" si="81">MAX(A230:A232)+NoOne</f>
        <v>10</v>
      </c>
      <c r="B233" s="2" t="s">
        <v>91</v>
      </c>
      <c r="C233" s="52">
        <v>2903848.6890631756</v>
      </c>
      <c r="D233" s="14">
        <v>2090121.3207885535</v>
      </c>
      <c r="E233" s="14">
        <f t="shared" si="73"/>
        <v>0</v>
      </c>
      <c r="F233" s="20">
        <f t="shared" si="74"/>
        <v>228692.21215859443</v>
      </c>
      <c r="H233" s="14">
        <f t="shared" si="75"/>
        <v>2318813.5329471477</v>
      </c>
      <c r="I233" s="53">
        <f t="shared" si="77"/>
        <v>1.2522993538736444</v>
      </c>
      <c r="K233" s="17" t="s">
        <v>150</v>
      </c>
      <c r="L233" s="17"/>
      <c r="M233" s="17"/>
    </row>
    <row r="234" spans="1:14" ht="15" x14ac:dyDescent="0.25">
      <c r="A234" s="1">
        <f t="shared" ref="A234" si="82">MAX(A231:A233)+NoOne</f>
        <v>11</v>
      </c>
      <c r="B234" s="2" t="s">
        <v>93</v>
      </c>
      <c r="C234" s="52">
        <v>392808</v>
      </c>
      <c r="D234" s="14">
        <v>439584.88334692374</v>
      </c>
      <c r="E234" s="14">
        <f t="shared" si="73"/>
        <v>0</v>
      </c>
      <c r="F234" s="20">
        <f t="shared" si="74"/>
        <v>48097.513959695985</v>
      </c>
      <c r="H234" s="14">
        <f t="shared" si="75"/>
        <v>487682.39730661974</v>
      </c>
      <c r="I234" s="53">
        <f t="shared" si="77"/>
        <v>0.80545863900236381</v>
      </c>
      <c r="K234" s="17" t="s">
        <v>151</v>
      </c>
      <c r="L234" s="17"/>
      <c r="M234" s="17"/>
    </row>
    <row r="235" spans="1:14" ht="15" x14ac:dyDescent="0.25">
      <c r="C235" s="62"/>
      <c r="D235" s="62"/>
      <c r="E235" s="62"/>
      <c r="F235" s="28"/>
      <c r="H235" s="62"/>
      <c r="I235" s="54"/>
      <c r="M235" s="54"/>
    </row>
    <row r="236" spans="1:14" x14ac:dyDescent="0.2">
      <c r="A236" s="1">
        <v>12</v>
      </c>
      <c r="B236" s="16" t="s">
        <v>95</v>
      </c>
      <c r="C236" s="31">
        <f>SUM(C228:C234)</f>
        <v>22231035.759315588</v>
      </c>
      <c r="D236" s="31">
        <f>SUM(D228:D234)</f>
        <v>20039019.906508639</v>
      </c>
      <c r="E236" s="31">
        <f>SUM(E228:E234)</f>
        <v>0</v>
      </c>
      <c r="F236" s="31">
        <f>SUM(F228:F234)</f>
        <v>2192584.5865160599</v>
      </c>
      <c r="G236" s="31"/>
      <c r="H236" s="31">
        <f>SUM(D236:F236)</f>
        <v>22231604.493024699</v>
      </c>
      <c r="I236" s="32"/>
      <c r="M236" s="54"/>
    </row>
    <row r="237" spans="1:14" ht="13.5" thickBot="1" x14ac:dyDescent="0.25">
      <c r="A237" s="1">
        <v>13</v>
      </c>
      <c r="B237" s="16" t="s">
        <v>152</v>
      </c>
      <c r="C237" s="34">
        <f>+C236+C225+C223</f>
        <v>31403033.528733701</v>
      </c>
      <c r="D237" s="34">
        <f>+D236+D225+D223</f>
        <v>29211219.802571915</v>
      </c>
      <c r="E237" s="34">
        <f>+E236+E225+E223</f>
        <v>0</v>
      </c>
      <c r="F237" s="34">
        <f>+F236+F225+F223</f>
        <v>2192584.5865160599</v>
      </c>
      <c r="G237" s="34"/>
      <c r="H237" s="34">
        <f>SUM(D237:F237)</f>
        <v>31403804.389087975</v>
      </c>
      <c r="I237" s="35"/>
    </row>
    <row r="238" spans="1:14" ht="13.5" thickTop="1" x14ac:dyDescent="0.2"/>
    <row r="239" spans="1:14" x14ac:dyDescent="0.2">
      <c r="B239" s="2" t="s">
        <v>153</v>
      </c>
    </row>
    <row r="240" spans="1:14" x14ac:dyDescent="0.2">
      <c r="B240" s="2" t="s">
        <v>154</v>
      </c>
      <c r="C240" s="13"/>
      <c r="D240" s="13"/>
      <c r="E240" s="13"/>
      <c r="F240" s="13"/>
      <c r="G240" s="13"/>
    </row>
    <row r="241" spans="1:18" x14ac:dyDescent="0.2">
      <c r="C241" s="13"/>
      <c r="D241" s="13"/>
      <c r="E241" s="13"/>
      <c r="F241" s="13"/>
      <c r="G241" s="13"/>
    </row>
    <row r="242" spans="1:18" x14ac:dyDescent="0.2">
      <c r="B242" s="23" t="s">
        <v>155</v>
      </c>
      <c r="C242" s="13"/>
      <c r="D242" s="13"/>
      <c r="E242" s="13"/>
      <c r="F242" s="13"/>
      <c r="G242" s="13"/>
    </row>
    <row r="243" spans="1:18" x14ac:dyDescent="0.2">
      <c r="B243" s="41" t="s">
        <v>156</v>
      </c>
      <c r="C243" s="13"/>
      <c r="E243" s="13">
        <f>+C225</f>
        <v>0</v>
      </c>
      <c r="F243" s="13"/>
      <c r="G243" s="13"/>
    </row>
    <row r="244" spans="1:18" x14ac:dyDescent="0.2">
      <c r="B244" s="41" t="s">
        <v>157</v>
      </c>
      <c r="C244" s="13"/>
      <c r="E244" s="13">
        <f>-D225</f>
        <v>0</v>
      </c>
      <c r="F244" s="13"/>
      <c r="G244" s="13"/>
      <c r="R244" s="1"/>
    </row>
    <row r="245" spans="1:18" x14ac:dyDescent="0.2">
      <c r="B245" s="41" t="s">
        <v>158</v>
      </c>
      <c r="C245" s="13"/>
      <c r="E245" s="13">
        <v>0</v>
      </c>
      <c r="F245" s="13"/>
      <c r="G245" s="13"/>
    </row>
    <row r="246" spans="1:18" ht="13.5" thickBot="1" x14ac:dyDescent="0.25">
      <c r="B246" s="57" t="s">
        <v>159</v>
      </c>
      <c r="E246" s="68">
        <f>SUM(E243:E245)</f>
        <v>0</v>
      </c>
    </row>
    <row r="247" spans="1:18" ht="13.5" thickTop="1" x14ac:dyDescent="0.2">
      <c r="B247" s="57"/>
      <c r="E247" s="13"/>
    </row>
    <row r="248" spans="1:18" x14ac:dyDescent="0.2">
      <c r="B248" s="57" t="s">
        <v>160</v>
      </c>
      <c r="D248" s="69">
        <f>+[2]RunOptions!B18</f>
        <v>1</v>
      </c>
      <c r="E248" s="13">
        <f>+E246*D248</f>
        <v>0</v>
      </c>
    </row>
    <row r="249" spans="1:18" x14ac:dyDescent="0.2">
      <c r="B249" s="57" t="s">
        <v>161</v>
      </c>
      <c r="E249" s="13">
        <f>+E246-E248</f>
        <v>0</v>
      </c>
    </row>
    <row r="250" spans="1:18" ht="13.5" thickBot="1" x14ac:dyDescent="0.25">
      <c r="B250" s="57"/>
      <c r="E250" s="68">
        <f>SUM(E248:E249)</f>
        <v>0</v>
      </c>
    </row>
    <row r="251" spans="1:18" ht="13.5" thickTop="1" x14ac:dyDescent="0.2">
      <c r="H251" s="70" t="s">
        <v>210</v>
      </c>
    </row>
    <row r="252" spans="1:18" x14ac:dyDescent="0.2">
      <c r="G252" s="70"/>
      <c r="H252" s="70" t="s">
        <v>4</v>
      </c>
    </row>
    <row r="253" spans="1:18" x14ac:dyDescent="0.2">
      <c r="G253" s="70"/>
    </row>
    <row r="255" spans="1:18" x14ac:dyDescent="0.2">
      <c r="A255" s="6" t="str">
        <f>+A6</f>
        <v>NEWFOUNDLAND AND LABRADOR HYDRO</v>
      </c>
      <c r="B255" s="6"/>
      <c r="C255" s="6"/>
      <c r="D255" s="6"/>
      <c r="E255" s="6"/>
      <c r="F255" s="6"/>
      <c r="G255" s="6"/>
      <c r="H255" s="6"/>
    </row>
    <row r="256" spans="1:18" x14ac:dyDescent="0.2">
      <c r="A256" s="6" t="str">
        <f>RunName</f>
        <v>2027 Test Year Cost of Service Study (Holyrood 18.43%)</v>
      </c>
      <c r="B256" s="6"/>
      <c r="C256" s="6"/>
      <c r="D256" s="6"/>
      <c r="E256" s="6"/>
      <c r="F256" s="6"/>
      <c r="G256" s="6"/>
      <c r="H256" s="6"/>
    </row>
    <row r="257" spans="1:18" x14ac:dyDescent="0.2">
      <c r="A257" s="6" t="s">
        <v>8</v>
      </c>
      <c r="B257" s="6"/>
      <c r="C257" s="6"/>
      <c r="D257" s="6"/>
      <c r="E257" s="6"/>
      <c r="F257" s="6"/>
      <c r="G257" s="6"/>
      <c r="H257" s="6"/>
    </row>
    <row r="258" spans="1:18" x14ac:dyDescent="0.2">
      <c r="A258" s="6" t="s">
        <v>163</v>
      </c>
      <c r="B258" s="6"/>
      <c r="C258" s="6"/>
      <c r="D258" s="6"/>
      <c r="E258" s="6"/>
      <c r="F258" s="6"/>
      <c r="G258" s="6"/>
      <c r="H258" s="6"/>
    </row>
    <row r="259" spans="1:18" x14ac:dyDescent="0.2">
      <c r="B259" s="42"/>
      <c r="C259" s="42"/>
      <c r="D259" s="42"/>
      <c r="E259" s="42"/>
      <c r="F259" s="42"/>
      <c r="G259" s="42"/>
    </row>
    <row r="260" spans="1:18" s="1" customFormat="1" x14ac:dyDescent="0.2">
      <c r="B260" s="1">
        <f t="shared" ref="B260:C260" si="83">MAX(A260)+NoOne</f>
        <v>1</v>
      </c>
      <c r="C260" s="1">
        <f t="shared" si="83"/>
        <v>2</v>
      </c>
      <c r="F260" s="1">
        <v>3</v>
      </c>
      <c r="H260" s="1">
        <v>4</v>
      </c>
      <c r="I260" s="1">
        <v>5</v>
      </c>
      <c r="J260" s="1">
        <v>6</v>
      </c>
    </row>
    <row r="261" spans="1:18" s="1" customFormat="1" x14ac:dyDescent="0.2"/>
    <row r="262" spans="1:18" s="1" customFormat="1" ht="38.25" x14ac:dyDescent="0.2">
      <c r="C262" s="71" t="s">
        <v>164</v>
      </c>
      <c r="F262" s="72"/>
      <c r="H262" s="72"/>
      <c r="I262" s="72"/>
    </row>
    <row r="263" spans="1:18" x14ac:dyDescent="0.2">
      <c r="A263" s="1" t="s">
        <v>17</v>
      </c>
      <c r="B263" s="1"/>
      <c r="C263" s="1" t="s">
        <v>165</v>
      </c>
      <c r="D263" s="1" t="s">
        <v>166</v>
      </c>
      <c r="E263" s="1" t="s">
        <v>215</v>
      </c>
      <c r="F263" s="1"/>
      <c r="H263" s="1"/>
      <c r="I263" s="1"/>
      <c r="J263" s="1"/>
    </row>
    <row r="264" spans="1:18" x14ac:dyDescent="0.2">
      <c r="A264" s="1" t="s">
        <v>25</v>
      </c>
      <c r="B264" s="1" t="s">
        <v>26</v>
      </c>
      <c r="C264" s="1" t="s">
        <v>167</v>
      </c>
      <c r="D264" s="1" t="s">
        <v>168</v>
      </c>
      <c r="E264" s="1" t="s">
        <v>167</v>
      </c>
      <c r="F264" s="1" t="s">
        <v>36</v>
      </c>
      <c r="H264" s="1" t="s">
        <v>37</v>
      </c>
      <c r="I264" s="1" t="s">
        <v>169</v>
      </c>
      <c r="J264" s="1" t="s">
        <v>170</v>
      </c>
    </row>
    <row r="265" spans="1:18" x14ac:dyDescent="0.2">
      <c r="B265" s="1"/>
      <c r="C265" s="1" t="s">
        <v>40</v>
      </c>
      <c r="D265" s="1" t="s">
        <v>40</v>
      </c>
      <c r="E265" s="1" t="s">
        <v>40</v>
      </c>
      <c r="F265" s="1" t="s">
        <v>40</v>
      </c>
      <c r="H265" s="1" t="s">
        <v>40</v>
      </c>
      <c r="I265" s="1" t="s">
        <v>40</v>
      </c>
      <c r="J265" s="1"/>
    </row>
    <row r="266" spans="1:18" x14ac:dyDescent="0.2">
      <c r="B266" s="1"/>
      <c r="C266" s="1"/>
      <c r="F266" s="1"/>
      <c r="H266" s="1"/>
      <c r="I266" s="1"/>
      <c r="J266" s="1"/>
    </row>
    <row r="267" spans="1:18" x14ac:dyDescent="0.2">
      <c r="B267" s="19" t="s">
        <v>171</v>
      </c>
      <c r="C267" s="1"/>
      <c r="F267" s="1"/>
      <c r="H267" s="1"/>
      <c r="I267" s="1"/>
      <c r="J267" s="1"/>
    </row>
    <row r="268" spans="1:18" ht="15" x14ac:dyDescent="0.25">
      <c r="A268" s="1">
        <v>1</v>
      </c>
      <c r="B268" s="23" t="s">
        <v>172</v>
      </c>
      <c r="C268" s="13">
        <f>SUM(F268:I268)</f>
        <v>574010053.72714305</v>
      </c>
      <c r="D268" s="13"/>
      <c r="E268" s="13">
        <f>SUM(C268:D268)</f>
        <v>574010053.72714305</v>
      </c>
      <c r="F268" s="14">
        <v>338982574.25737756</v>
      </c>
      <c r="H268" s="14">
        <v>232284135.94735411</v>
      </c>
      <c r="I268" s="14">
        <v>2743343.5224113544</v>
      </c>
      <c r="J268" s="2" t="s">
        <v>211</v>
      </c>
    </row>
    <row r="269" spans="1:18" ht="15" x14ac:dyDescent="0.25">
      <c r="A269" s="1">
        <v>2</v>
      </c>
      <c r="B269" s="2" t="s">
        <v>174</v>
      </c>
      <c r="C269" s="13">
        <f>SUM(F269:I269)</f>
        <v>20039019.906508639</v>
      </c>
      <c r="D269" s="13"/>
      <c r="E269" s="13">
        <f>SUM(C269:D269)</f>
        <v>20039019.906508639</v>
      </c>
      <c r="F269" s="13">
        <v>12775025.529698385</v>
      </c>
      <c r="H269" s="14">
        <v>1088077.3977040008</v>
      </c>
      <c r="I269" s="14">
        <v>6175916.9791062539</v>
      </c>
      <c r="J269" s="23" t="s">
        <v>212</v>
      </c>
    </row>
    <row r="270" spans="1:18" x14ac:dyDescent="0.2">
      <c r="C270" s="13"/>
      <c r="D270" s="13"/>
      <c r="E270" s="13"/>
      <c r="F270" s="13"/>
      <c r="H270" s="13"/>
      <c r="I270" s="13"/>
    </row>
    <row r="271" spans="1:18" ht="13.5" thickBot="1" x14ac:dyDescent="0.25">
      <c r="A271" s="1">
        <v>3</v>
      </c>
      <c r="B271" s="16" t="s">
        <v>176</v>
      </c>
      <c r="C271" s="73">
        <f>SUM(C268:C269)</f>
        <v>594049073.63365173</v>
      </c>
      <c r="D271" s="73"/>
      <c r="E271" s="73">
        <f t="shared" ref="E271" si="84">SUM(E268:E269)</f>
        <v>594049073.63365173</v>
      </c>
      <c r="F271" s="73">
        <f>SUM(F268:F269)</f>
        <v>351757599.78707594</v>
      </c>
      <c r="H271" s="73">
        <f>SUM(H268:H269)</f>
        <v>233372213.34505811</v>
      </c>
      <c r="I271" s="73">
        <f>SUM(I268:I269)</f>
        <v>8919260.5015176088</v>
      </c>
    </row>
    <row r="272" spans="1:18" ht="15.75" thickTop="1" x14ac:dyDescent="0.25">
      <c r="A272" s="6"/>
      <c r="H272" s="14"/>
      <c r="I272" s="14"/>
      <c r="R272" s="1"/>
    </row>
    <row r="273" spans="1:10" ht="15" x14ac:dyDescent="0.25">
      <c r="A273" s="1">
        <v>4</v>
      </c>
      <c r="B273" s="2" t="s">
        <v>177</v>
      </c>
      <c r="C273" s="13">
        <f>-1*F38</f>
        <v>64998330.684837431</v>
      </c>
      <c r="D273" s="13">
        <v>0</v>
      </c>
      <c r="E273" s="13">
        <f>SUM(C273:D273)</f>
        <v>64998330.684837431</v>
      </c>
      <c r="F273" s="13">
        <f>E273-SUM(H273:I273)</f>
        <v>38487825.007475756</v>
      </c>
      <c r="H273" s="14">
        <f>H$271/$C$271*$E$273</f>
        <v>25534598.013714053</v>
      </c>
      <c r="I273" s="14">
        <f>I$271/$C$271*$E$273</f>
        <v>975907.66364762082</v>
      </c>
      <c r="J273" s="23" t="s">
        <v>178</v>
      </c>
    </row>
    <row r="275" spans="1:10" x14ac:dyDescent="0.2">
      <c r="D275" s="4"/>
      <c r="E275" s="4"/>
      <c r="F275" s="4"/>
    </row>
    <row r="276" spans="1:10" x14ac:dyDescent="0.2">
      <c r="B276" s="2" t="s">
        <v>179</v>
      </c>
    </row>
    <row r="277" spans="1:10" x14ac:dyDescent="0.2">
      <c r="B277" s="23"/>
      <c r="D277" s="36"/>
      <c r="E277" s="36"/>
      <c r="F277" s="36"/>
      <c r="G277" s="57"/>
    </row>
    <row r="278" spans="1:10" x14ac:dyDescent="0.2">
      <c r="B278" s="16"/>
      <c r="C278" s="16"/>
      <c r="D278" s="74"/>
      <c r="E278" s="74"/>
      <c r="F278" s="74"/>
    </row>
    <row r="281" spans="1:10" x14ac:dyDescent="0.2">
      <c r="D281" s="36"/>
      <c r="E281" s="36"/>
      <c r="F281" s="36"/>
      <c r="G281" s="57"/>
    </row>
    <row r="282" spans="1:10" x14ac:dyDescent="0.2">
      <c r="B282" s="16"/>
      <c r="C282" s="16"/>
      <c r="D282" s="74"/>
      <c r="E282" s="74"/>
      <c r="F282" s="74"/>
    </row>
    <row r="283" spans="1:10" x14ac:dyDescent="0.2">
      <c r="B283" s="16"/>
      <c r="C283" s="16"/>
      <c r="D283" s="74"/>
      <c r="E283" s="74"/>
      <c r="F283" s="74"/>
    </row>
    <row r="285" spans="1:10" ht="15" x14ac:dyDescent="0.25">
      <c r="D285" s="75"/>
      <c r="E285" s="75"/>
      <c r="F285" s="75"/>
      <c r="G285" s="23"/>
    </row>
    <row r="286" spans="1:10" x14ac:dyDescent="0.2">
      <c r="D286" s="4"/>
      <c r="E286" s="4"/>
      <c r="F286" s="4"/>
    </row>
    <row r="288" spans="1:10" x14ac:dyDescent="0.2">
      <c r="B288" s="2" t="s">
        <v>180</v>
      </c>
    </row>
    <row r="289" spans="1:18" x14ac:dyDescent="0.2">
      <c r="B289" s="2" t="s">
        <v>181</v>
      </c>
    </row>
    <row r="291" spans="1:18" x14ac:dyDescent="0.2">
      <c r="B291" s="2" t="s">
        <v>182</v>
      </c>
    </row>
    <row r="292" spans="1:18" ht="15" x14ac:dyDescent="0.25">
      <c r="B292" s="2" t="s">
        <v>183</v>
      </c>
      <c r="D292" s="76">
        <v>536.43948817914327</v>
      </c>
      <c r="E292" s="2" t="s">
        <v>184</v>
      </c>
    </row>
    <row r="293" spans="1:18" ht="15" x14ac:dyDescent="0.25">
      <c r="B293" s="2" t="s">
        <v>185</v>
      </c>
      <c r="D293" s="76">
        <v>507.34482936963519</v>
      </c>
    </row>
    <row r="294" spans="1:18" x14ac:dyDescent="0.2">
      <c r="H294" s="70" t="s">
        <v>210</v>
      </c>
    </row>
    <row r="295" spans="1:18" x14ac:dyDescent="0.2">
      <c r="G295" s="70"/>
      <c r="H295" s="70" t="s">
        <v>6</v>
      </c>
    </row>
    <row r="296" spans="1:18" x14ac:dyDescent="0.2">
      <c r="G296" s="70"/>
    </row>
    <row r="298" spans="1:18" x14ac:dyDescent="0.2">
      <c r="A298" s="6" t="str">
        <f>+A6</f>
        <v>NEWFOUNDLAND AND LABRADOR HYDRO</v>
      </c>
      <c r="B298" s="6"/>
      <c r="C298" s="6"/>
      <c r="D298" s="6"/>
      <c r="E298" s="6"/>
      <c r="F298" s="6"/>
      <c r="G298" s="6"/>
      <c r="H298" s="6"/>
    </row>
    <row r="299" spans="1:18" x14ac:dyDescent="0.2">
      <c r="A299" s="6" t="str">
        <f>RunName</f>
        <v>2027 Test Year Cost of Service Study (Holyrood 18.43%)</v>
      </c>
      <c r="B299" s="6"/>
      <c r="C299" s="6"/>
      <c r="D299" s="6"/>
      <c r="E299" s="6"/>
      <c r="F299" s="6"/>
      <c r="G299" s="6"/>
      <c r="H299" s="6"/>
    </row>
    <row r="300" spans="1:18" x14ac:dyDescent="0.2">
      <c r="A300" s="6" t="s">
        <v>8</v>
      </c>
      <c r="B300" s="6"/>
      <c r="C300" s="6"/>
      <c r="D300" s="6"/>
      <c r="E300" s="6"/>
      <c r="F300" s="6"/>
      <c r="G300" s="6"/>
      <c r="H300" s="6"/>
      <c r="R300" s="1"/>
    </row>
    <row r="301" spans="1:18" x14ac:dyDescent="0.2">
      <c r="A301" s="6" t="s">
        <v>163</v>
      </c>
      <c r="B301" s="6"/>
      <c r="C301" s="6"/>
      <c r="D301" s="6"/>
      <c r="E301" s="6"/>
      <c r="F301" s="6"/>
      <c r="G301" s="6"/>
      <c r="H301" s="6"/>
    </row>
    <row r="302" spans="1:18" x14ac:dyDescent="0.2">
      <c r="B302" s="42"/>
      <c r="C302" s="42"/>
      <c r="D302" s="42"/>
      <c r="E302" s="42"/>
      <c r="F302" s="42"/>
    </row>
    <row r="303" spans="1:18" x14ac:dyDescent="0.2">
      <c r="A303" s="1" t="s">
        <v>17</v>
      </c>
      <c r="B303" s="1">
        <v>1</v>
      </c>
      <c r="C303" s="1">
        <v>2</v>
      </c>
      <c r="D303" s="1"/>
      <c r="E303" s="1"/>
      <c r="F303" s="1"/>
      <c r="G303" s="1"/>
    </row>
    <row r="304" spans="1:18" x14ac:dyDescent="0.2">
      <c r="A304" s="1" t="s">
        <v>25</v>
      </c>
    </row>
    <row r="305" spans="1:7" x14ac:dyDescent="0.2">
      <c r="B305" s="1"/>
      <c r="C305" s="1" t="s">
        <v>186</v>
      </c>
      <c r="D305" s="10"/>
      <c r="E305" s="10"/>
      <c r="F305" s="10"/>
      <c r="G305" s="1"/>
    </row>
    <row r="306" spans="1:7" x14ac:dyDescent="0.2">
      <c r="B306" s="1"/>
      <c r="C306" s="1" t="s">
        <v>187</v>
      </c>
      <c r="D306" s="1" t="s">
        <v>188</v>
      </c>
      <c r="E306" s="1" t="s">
        <v>189</v>
      </c>
      <c r="F306" s="1"/>
      <c r="G306" s="1"/>
    </row>
    <row r="307" spans="1:7" x14ac:dyDescent="0.2">
      <c r="B307" s="1"/>
      <c r="C307" s="77" t="s">
        <v>198</v>
      </c>
      <c r="D307" s="77" t="s">
        <v>190</v>
      </c>
      <c r="E307" s="77" t="s">
        <v>191</v>
      </c>
      <c r="F307" s="1"/>
      <c r="G307" s="1"/>
    </row>
    <row r="308" spans="1:7" x14ac:dyDescent="0.2">
      <c r="B308" s="1"/>
      <c r="C308" s="1" t="s">
        <v>40</v>
      </c>
      <c r="D308" s="1" t="s">
        <v>40</v>
      </c>
      <c r="E308" s="1" t="s">
        <v>40</v>
      </c>
      <c r="F308" s="1"/>
      <c r="G308" s="1"/>
    </row>
    <row r="310" spans="1:7" x14ac:dyDescent="0.2">
      <c r="B310" s="2" t="s">
        <v>192</v>
      </c>
    </row>
    <row r="312" spans="1:7" ht="15" x14ac:dyDescent="0.25">
      <c r="A312" s="1">
        <v>1</v>
      </c>
      <c r="B312" s="2" t="s">
        <v>193</v>
      </c>
      <c r="C312" s="13">
        <f>C273</f>
        <v>64998330.684837431</v>
      </c>
      <c r="D312" s="62"/>
      <c r="E312" s="62"/>
      <c r="F312" s="62"/>
      <c r="G312" s="78"/>
    </row>
    <row r="313" spans="1:7" ht="15" hidden="1" x14ac:dyDescent="0.25">
      <c r="A313" s="1">
        <v>2</v>
      </c>
      <c r="B313" s="2" t="s">
        <v>194</v>
      </c>
      <c r="C313" s="13">
        <f>D273</f>
        <v>0</v>
      </c>
      <c r="D313" s="62"/>
      <c r="E313" s="62"/>
      <c r="F313" s="62"/>
      <c r="G313" s="78"/>
    </row>
    <row r="314" spans="1:7" ht="15" x14ac:dyDescent="0.25">
      <c r="C314" s="13"/>
      <c r="D314" s="62"/>
      <c r="E314" s="62"/>
      <c r="F314" s="62"/>
    </row>
    <row r="315" spans="1:7" ht="13.5" thickBot="1" x14ac:dyDescent="0.25">
      <c r="A315" s="1">
        <v>2</v>
      </c>
      <c r="B315" s="16" t="s">
        <v>195</v>
      </c>
      <c r="C315" s="73">
        <f>SUM(C312:C313)</f>
        <v>64998330.684837431</v>
      </c>
      <c r="D315" s="73">
        <f>E268/E271*E273</f>
        <v>62805746.098321363</v>
      </c>
      <c r="E315" s="73">
        <f>E269/E271*E273</f>
        <v>2192584.5865160595</v>
      </c>
      <c r="F315" s="47"/>
    </row>
    <row r="316" spans="1:7" ht="13.5" thickTop="1" x14ac:dyDescent="0.2"/>
    <row r="317" spans="1:7" x14ac:dyDescent="0.2">
      <c r="B317" s="2" t="s">
        <v>196</v>
      </c>
    </row>
    <row r="318" spans="1:7" x14ac:dyDescent="0.2">
      <c r="C318" s="77" t="s">
        <v>197</v>
      </c>
      <c r="D318" s="79" t="s">
        <v>198</v>
      </c>
      <c r="E318" s="77" t="s">
        <v>199</v>
      </c>
    </row>
    <row r="319" spans="1:7" x14ac:dyDescent="0.2">
      <c r="B319" s="16" t="s">
        <v>200</v>
      </c>
    </row>
    <row r="320" spans="1:7" ht="15" x14ac:dyDescent="0.25">
      <c r="A320" s="1">
        <v>3</v>
      </c>
      <c r="B320" s="23" t="s">
        <v>201</v>
      </c>
      <c r="C320" s="45">
        <f>C268/SUM($C$268:$C$268)*$D$315</f>
        <v>62805746.098321363</v>
      </c>
      <c r="D320" s="13">
        <f>SUM(F268:I268)</f>
        <v>574010053.72714305</v>
      </c>
      <c r="E320" s="80">
        <f>+C320/C326</f>
        <v>0.96626706311662958</v>
      </c>
    </row>
    <row r="321" spans="1:5" hidden="1" x14ac:dyDescent="0.2">
      <c r="A321" s="1">
        <v>4</v>
      </c>
      <c r="B321" s="23" t="s">
        <v>202</v>
      </c>
      <c r="C321" s="45">
        <f>SUM(C320:C320)</f>
        <v>62805746.098321363</v>
      </c>
      <c r="E321" s="81"/>
    </row>
    <row r="322" spans="1:5" x14ac:dyDescent="0.2">
      <c r="B322" s="23"/>
      <c r="C322" s="13"/>
      <c r="E322" s="81"/>
    </row>
    <row r="323" spans="1:5" x14ac:dyDescent="0.2">
      <c r="B323" s="16" t="s">
        <v>203</v>
      </c>
      <c r="E323" s="81"/>
    </row>
    <row r="324" spans="1:5" ht="15" x14ac:dyDescent="0.25">
      <c r="A324" s="1">
        <v>4</v>
      </c>
      <c r="B324" s="2" t="s">
        <v>204</v>
      </c>
      <c r="C324" s="45">
        <f>C269/SUM($C$269:$C$269)*$E$315</f>
        <v>2192584.5865160595</v>
      </c>
      <c r="D324" s="13">
        <f>SUM(F269:I269)</f>
        <v>20039019.906508639</v>
      </c>
      <c r="E324" s="80">
        <f>+C324/C326</f>
        <v>3.3732936883370417E-2</v>
      </c>
    </row>
    <row r="325" spans="1:5" hidden="1" x14ac:dyDescent="0.2">
      <c r="A325" s="1">
        <v>5</v>
      </c>
      <c r="B325" s="2" t="s">
        <v>205</v>
      </c>
      <c r="C325" s="45">
        <f>SUM(C324:C324)</f>
        <v>2192584.5865160595</v>
      </c>
      <c r="E325" s="1"/>
    </row>
    <row r="326" spans="1:5" ht="15.75" thickBot="1" x14ac:dyDescent="0.3">
      <c r="A326" s="1">
        <v>5</v>
      </c>
      <c r="B326" s="16" t="s">
        <v>206</v>
      </c>
      <c r="C326" s="73">
        <f>SUM(C325,C321)</f>
        <v>64998330.684837423</v>
      </c>
      <c r="E326" s="82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328F-CE11-437C-9FC5-7604E9D35A97}">
  <sheetPr codeName="Sheet16">
    <pageSetUpPr fitToPage="1"/>
  </sheetPr>
  <dimension ref="A1:AF327"/>
  <sheetViews>
    <sheetView zoomScaleNormal="100" workbookViewId="0"/>
  </sheetViews>
  <sheetFormatPr defaultRowHeight="12.75" x14ac:dyDescent="0.2"/>
  <cols>
    <col min="1" max="1" width="5.28515625" style="1" customWidth="1"/>
    <col min="2" max="2" width="35.7109375" style="2" customWidth="1"/>
    <col min="3" max="3" width="18.140625" style="2" customWidth="1"/>
    <col min="4" max="4" width="19" style="2" customWidth="1"/>
    <col min="5" max="5" width="14.7109375" style="2" customWidth="1"/>
    <col min="6" max="6" width="13.85546875" style="2" customWidth="1"/>
    <col min="7" max="7" width="14.7109375" style="2" hidden="1" customWidth="1"/>
    <col min="8" max="8" width="22.28515625" style="2" bestFit="1" customWidth="1"/>
    <col min="9" max="9" width="14.7109375" style="2" bestFit="1" customWidth="1"/>
    <col min="10" max="10" width="22.140625" style="2" customWidth="1"/>
    <col min="11" max="11" width="13.28515625" style="2" bestFit="1" customWidth="1"/>
    <col min="12" max="12" width="5.28515625" style="2" customWidth="1"/>
    <col min="13" max="13" width="35.7109375" style="2" customWidth="1"/>
    <col min="14" max="14" width="22.28515625" style="2" bestFit="1" customWidth="1"/>
    <col min="15" max="15" width="18.28515625" style="2" bestFit="1" customWidth="1"/>
    <col min="16" max="16" width="12" style="2" bestFit="1" customWidth="1"/>
    <col min="17" max="17" width="16.28515625" style="2" customWidth="1"/>
    <col min="18" max="21" width="9.140625" style="2"/>
    <col min="22" max="22" width="3.85546875" style="2" customWidth="1"/>
    <col min="23" max="23" width="9.140625" style="2"/>
    <col min="24" max="24" width="33.42578125" style="2" customWidth="1"/>
    <col min="25" max="25" width="22.140625" style="2" bestFit="1" customWidth="1"/>
    <col min="26" max="27" width="13.7109375" style="2" customWidth="1"/>
    <col min="28" max="28" width="13.140625" style="2" bestFit="1" customWidth="1"/>
    <col min="29" max="29" width="12.28515625" style="2" bestFit="1" customWidth="1"/>
    <col min="30" max="30" width="12.85546875" style="2" bestFit="1" customWidth="1"/>
    <col min="31" max="16384" width="9.140625" style="2"/>
  </cols>
  <sheetData>
    <row r="1" spans="1:32" ht="15" x14ac:dyDescent="0.25">
      <c r="C1" s="3"/>
      <c r="I1" s="4"/>
    </row>
    <row r="2" spans="1:32" x14ac:dyDescent="0.2">
      <c r="I2" s="4" t="s">
        <v>0</v>
      </c>
      <c r="M2" s="1"/>
      <c r="U2" s="4" t="s">
        <v>1</v>
      </c>
      <c r="X2" s="1"/>
      <c r="AC2" s="4" t="s">
        <v>1</v>
      </c>
      <c r="AF2" s="4" t="s">
        <v>2</v>
      </c>
    </row>
    <row r="3" spans="1:32" x14ac:dyDescent="0.2">
      <c r="I3" s="4" t="s">
        <v>3</v>
      </c>
      <c r="M3" s="1"/>
      <c r="U3" s="4" t="s">
        <v>4</v>
      </c>
      <c r="X3" s="1"/>
      <c r="AC3" s="4" t="s">
        <v>5</v>
      </c>
      <c r="AF3" s="4" t="s">
        <v>6</v>
      </c>
    </row>
    <row r="4" spans="1:32" x14ac:dyDescent="0.2">
      <c r="I4" s="5"/>
      <c r="M4" s="1"/>
      <c r="U4" s="5"/>
      <c r="X4" s="1"/>
      <c r="AF4" s="5"/>
    </row>
    <row r="5" spans="1:32" x14ac:dyDescent="0.2">
      <c r="M5" s="1"/>
      <c r="X5" s="1"/>
    </row>
    <row r="6" spans="1:32" x14ac:dyDescent="0.2">
      <c r="A6" s="6" t="s">
        <v>7</v>
      </c>
      <c r="B6" s="6"/>
      <c r="C6" s="6"/>
      <c r="D6" s="6"/>
      <c r="E6" s="6"/>
      <c r="F6" s="6"/>
      <c r="G6" s="6"/>
      <c r="H6" s="6"/>
      <c r="I6" s="6"/>
      <c r="M6" s="6" t="s">
        <v>7</v>
      </c>
      <c r="N6" s="6"/>
      <c r="O6" s="6"/>
      <c r="P6" s="6"/>
      <c r="Q6" s="6"/>
      <c r="R6" s="6"/>
      <c r="S6" s="6"/>
      <c r="T6" s="6"/>
      <c r="U6" s="6"/>
      <c r="X6" s="6" t="s">
        <v>7</v>
      </c>
      <c r="Y6" s="6"/>
      <c r="Z6" s="6"/>
      <c r="AA6" s="6"/>
      <c r="AB6" s="6"/>
      <c r="AC6" s="6"/>
      <c r="AD6" s="6"/>
      <c r="AE6" s="6"/>
      <c r="AF6" s="6"/>
    </row>
    <row r="7" spans="1:32" x14ac:dyDescent="0.2">
      <c r="A7" s="7" t="str">
        <f>RunName</f>
        <v>2027 Test Year Cost of Service Study (No Rate Mitigation and Holyrood at 18.43%)</v>
      </c>
      <c r="B7" s="6"/>
      <c r="C7" s="6"/>
      <c r="D7" s="6"/>
      <c r="E7" s="6"/>
      <c r="F7" s="6"/>
      <c r="G7" s="6"/>
      <c r="H7" s="6"/>
      <c r="I7" s="6"/>
      <c r="M7" s="7" t="str">
        <f>RunName</f>
        <v>2027 Test Year Cost of Service Study (No Rate Mitigation and Holyrood at 18.43%)</v>
      </c>
      <c r="N7" s="6"/>
      <c r="O7" s="6"/>
      <c r="P7" s="6"/>
      <c r="Q7" s="6"/>
      <c r="R7" s="6"/>
      <c r="S7" s="6"/>
      <c r="T7" s="6"/>
      <c r="U7" s="6"/>
      <c r="X7" s="7" t="str">
        <f>RunName</f>
        <v>2027 Test Year Cost of Service Study (No Rate Mitigation and Holyrood at 18.43%)</v>
      </c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6" t="s">
        <v>8</v>
      </c>
      <c r="B8" s="6"/>
      <c r="C8" s="6"/>
      <c r="D8" s="6"/>
      <c r="E8" s="6"/>
      <c r="F8" s="6"/>
      <c r="G8" s="6"/>
      <c r="H8" s="6"/>
      <c r="I8" s="6"/>
      <c r="M8" s="6" t="s">
        <v>8</v>
      </c>
      <c r="N8" s="6"/>
      <c r="O8" s="6"/>
      <c r="P8" s="6"/>
      <c r="Q8" s="6"/>
      <c r="R8" s="6"/>
      <c r="S8" s="6"/>
      <c r="T8" s="6"/>
      <c r="U8" s="6"/>
      <c r="X8" s="6" t="s">
        <v>8</v>
      </c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6" t="s">
        <v>9</v>
      </c>
      <c r="B9" s="6"/>
      <c r="C9" s="6"/>
      <c r="D9" s="6"/>
      <c r="E9" s="6"/>
      <c r="F9" s="6"/>
      <c r="G9" s="6"/>
      <c r="H9" s="6"/>
      <c r="I9" s="6"/>
      <c r="M9" s="6" t="s">
        <v>10</v>
      </c>
      <c r="N9" s="6"/>
      <c r="O9" s="6"/>
      <c r="P9" s="6"/>
      <c r="Q9" s="6"/>
      <c r="R9" s="6"/>
      <c r="S9" s="6"/>
      <c r="T9" s="6"/>
      <c r="U9" s="6"/>
      <c r="X9" s="6" t="s">
        <v>11</v>
      </c>
      <c r="Y9" s="6"/>
      <c r="Z9" s="6"/>
      <c r="AA9" s="6"/>
      <c r="AB9" s="6"/>
      <c r="AC9" s="6"/>
      <c r="AD9" s="6"/>
      <c r="AE9" s="6"/>
      <c r="AF9" s="6"/>
    </row>
    <row r="10" spans="1:32" x14ac:dyDescent="0.2">
      <c r="M10" s="1"/>
      <c r="X10" s="1"/>
    </row>
    <row r="11" spans="1:32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v>6</v>
      </c>
      <c r="I11" s="1">
        <f t="shared" si="0"/>
        <v>7</v>
      </c>
      <c r="N11" s="1">
        <f t="shared" ref="N11" si="1">MAX(M11)+NoOne</f>
        <v>1</v>
      </c>
      <c r="O11" s="1">
        <f t="shared" ref="O11" si="2">MAX(N11)+NoOne</f>
        <v>2</v>
      </c>
      <c r="P11" s="1">
        <f t="shared" ref="P11" si="3">MAX(O11)+NoOne</f>
        <v>3</v>
      </c>
      <c r="Q11" s="1">
        <f t="shared" ref="Q11" si="4">MAX(P11)+NoOne</f>
        <v>4</v>
      </c>
      <c r="Y11" s="1">
        <f t="shared" ref="Y11" si="5">MAX(X11)+NoOne</f>
        <v>1</v>
      </c>
    </row>
    <row r="12" spans="1:32" s="1" customFormat="1" x14ac:dyDescent="0.2"/>
    <row r="13" spans="1:32" x14ac:dyDescent="0.2">
      <c r="B13" s="1"/>
      <c r="C13" s="1"/>
      <c r="D13" s="8" t="s">
        <v>12</v>
      </c>
      <c r="E13" s="1"/>
      <c r="F13" s="1"/>
      <c r="H13" s="8" t="s">
        <v>13</v>
      </c>
      <c r="I13" s="1" t="s">
        <v>14</v>
      </c>
      <c r="N13" s="8" t="s">
        <v>13</v>
      </c>
      <c r="O13" s="9" t="s">
        <v>15</v>
      </c>
      <c r="P13" s="9"/>
      <c r="Y13" s="8" t="s">
        <v>16</v>
      </c>
      <c r="Z13" s="9"/>
      <c r="AA13" s="9"/>
    </row>
    <row r="14" spans="1:32" x14ac:dyDescent="0.2">
      <c r="A14" s="1" t="s">
        <v>17</v>
      </c>
      <c r="B14" s="1"/>
      <c r="C14" s="1"/>
      <c r="D14" s="1" t="s">
        <v>18</v>
      </c>
      <c r="E14" s="1" t="s">
        <v>14</v>
      </c>
      <c r="F14" s="1"/>
      <c r="G14" s="8" t="s">
        <v>19</v>
      </c>
      <c r="H14" s="8" t="s">
        <v>20</v>
      </c>
      <c r="I14" s="1" t="s">
        <v>21</v>
      </c>
      <c r="L14" s="1" t="s">
        <v>17</v>
      </c>
      <c r="M14" s="1"/>
      <c r="N14" s="8" t="s">
        <v>20</v>
      </c>
      <c r="O14" s="9" t="s">
        <v>22</v>
      </c>
      <c r="P14" s="9"/>
      <c r="Q14" s="1" t="s">
        <v>23</v>
      </c>
      <c r="W14" s="1" t="s">
        <v>17</v>
      </c>
      <c r="X14" s="1"/>
      <c r="Y14" s="8" t="s">
        <v>24</v>
      </c>
      <c r="Z14" s="9"/>
      <c r="AA14" s="9"/>
      <c r="AB14" s="1"/>
    </row>
    <row r="15" spans="1:32" x14ac:dyDescent="0.2">
      <c r="A15" s="1" t="s">
        <v>25</v>
      </c>
      <c r="B15" s="1" t="s">
        <v>26</v>
      </c>
      <c r="C15" s="1" t="s">
        <v>27</v>
      </c>
      <c r="D15" s="1" t="s">
        <v>28</v>
      </c>
      <c r="E15" s="8" t="s">
        <v>29</v>
      </c>
      <c r="F15" s="1" t="s">
        <v>30</v>
      </c>
      <c r="G15" s="1" t="s">
        <v>31</v>
      </c>
      <c r="H15" s="1" t="s">
        <v>28</v>
      </c>
      <c r="I15" s="1" t="s">
        <v>32</v>
      </c>
      <c r="J15" s="160" t="s">
        <v>13</v>
      </c>
      <c r="K15" s="160"/>
      <c r="L15" s="1" t="s">
        <v>25</v>
      </c>
      <c r="M15" s="1" t="s">
        <v>26</v>
      </c>
      <c r="N15" s="1" t="s">
        <v>28</v>
      </c>
      <c r="O15" s="10" t="s">
        <v>33</v>
      </c>
      <c r="P15" s="10"/>
      <c r="Q15" s="1" t="s">
        <v>34</v>
      </c>
      <c r="W15" s="1" t="s">
        <v>25</v>
      </c>
      <c r="X15" s="1" t="s">
        <v>26</v>
      </c>
      <c r="Y15" s="1" t="s">
        <v>35</v>
      </c>
      <c r="Z15" s="1" t="s">
        <v>36</v>
      </c>
      <c r="AA15" s="10" t="s">
        <v>37</v>
      </c>
      <c r="AB15" s="1" t="s">
        <v>36</v>
      </c>
      <c r="AC15" s="10" t="s">
        <v>37</v>
      </c>
    </row>
    <row r="16" spans="1:32" x14ac:dyDescent="0.2">
      <c r="B16" s="1"/>
      <c r="C16" s="1"/>
      <c r="D16" s="1"/>
      <c r="E16" s="1"/>
      <c r="F16" s="1"/>
      <c r="H16" s="11" t="s">
        <v>38</v>
      </c>
      <c r="I16" s="1" t="s">
        <v>39</v>
      </c>
      <c r="J16" s="160" t="s">
        <v>214</v>
      </c>
      <c r="K16" s="160"/>
      <c r="L16" s="1"/>
      <c r="M16" s="1"/>
      <c r="N16" s="11"/>
      <c r="W16" s="1"/>
      <c r="X16" s="1"/>
      <c r="Y16" s="11"/>
    </row>
    <row r="17" spans="1:30" ht="11.25" customHeight="1" x14ac:dyDescent="0.2">
      <c r="B17" s="1"/>
      <c r="C17" s="1" t="s">
        <v>40</v>
      </c>
      <c r="D17" s="1" t="s">
        <v>40</v>
      </c>
      <c r="E17" s="1" t="s">
        <v>40</v>
      </c>
      <c r="F17" s="1" t="s">
        <v>40</v>
      </c>
      <c r="G17" s="1" t="s">
        <v>40</v>
      </c>
      <c r="H17" s="1" t="s">
        <v>40</v>
      </c>
      <c r="I17" s="1"/>
      <c r="J17" s="147"/>
      <c r="K17" s="147"/>
      <c r="L17" s="1"/>
      <c r="M17" s="1"/>
      <c r="N17" s="1" t="s">
        <v>40</v>
      </c>
      <c r="O17" s="1" t="s">
        <v>40</v>
      </c>
      <c r="P17" s="1" t="s">
        <v>40</v>
      </c>
      <c r="Q17" s="1" t="s">
        <v>40</v>
      </c>
      <c r="W17" s="1"/>
      <c r="X17" s="1"/>
      <c r="Y17" s="1" t="s">
        <v>40</v>
      </c>
      <c r="Z17" s="1" t="s">
        <v>40</v>
      </c>
      <c r="AA17" s="1" t="s">
        <v>40</v>
      </c>
      <c r="AB17" s="1" t="s">
        <v>41</v>
      </c>
      <c r="AC17" s="1" t="s">
        <v>41</v>
      </c>
    </row>
    <row r="18" spans="1:30" ht="4.5" customHeight="1" x14ac:dyDescent="0.2">
      <c r="J18" s="148"/>
      <c r="K18" s="147"/>
      <c r="L18" s="1"/>
      <c r="W18" s="1"/>
    </row>
    <row r="19" spans="1:30" ht="15" x14ac:dyDescent="0.25">
      <c r="H19" s="12"/>
      <c r="J19" s="148"/>
      <c r="K19" s="147"/>
      <c r="L19" s="1"/>
      <c r="O19" s="1"/>
      <c r="P19" s="1"/>
      <c r="W19" s="1">
        <v>1</v>
      </c>
      <c r="X19" s="2" t="s">
        <v>42</v>
      </c>
      <c r="Y19" s="14">
        <v>269134555.84989369</v>
      </c>
      <c r="Z19" s="14">
        <v>133794097.71196806</v>
      </c>
      <c r="AA19" s="14">
        <v>135340458.13792562</v>
      </c>
      <c r="AB19" s="15">
        <f>Z19/$Y19</f>
        <v>0.49712716113121491</v>
      </c>
      <c r="AC19" s="15">
        <f>AA19/$Y19</f>
        <v>0.50287283886878509</v>
      </c>
    </row>
    <row r="20" spans="1:30" ht="15" x14ac:dyDescent="0.25">
      <c r="B20" s="16" t="s">
        <v>8</v>
      </c>
      <c r="C20" s="13"/>
      <c r="D20" s="13"/>
      <c r="H20" s="17"/>
      <c r="I20" s="17"/>
      <c r="J20" s="149"/>
      <c r="K20" s="147"/>
      <c r="L20" s="1"/>
      <c r="M20" s="16" t="s">
        <v>8</v>
      </c>
      <c r="W20" s="1">
        <v>2</v>
      </c>
      <c r="X20" s="2" t="s">
        <v>43</v>
      </c>
      <c r="Y20" s="14">
        <v>-40178593</v>
      </c>
      <c r="Z20" s="14">
        <v>-19973869.876336504</v>
      </c>
      <c r="AA20" s="14">
        <v>-20204723.123663496</v>
      </c>
      <c r="AB20" s="15">
        <f t="shared" ref="AB20:AC22" si="6">Z20/$Y20</f>
        <v>0.49712716113121491</v>
      </c>
      <c r="AC20" s="15">
        <f t="shared" si="6"/>
        <v>0.50287283886878509</v>
      </c>
    </row>
    <row r="21" spans="1:30" ht="15" x14ac:dyDescent="0.25">
      <c r="A21" s="1">
        <v>1</v>
      </c>
      <c r="B21" s="2" t="s">
        <v>44</v>
      </c>
      <c r="C21" s="13">
        <f>C66</f>
        <v>1104601717.28</v>
      </c>
      <c r="D21" s="13">
        <f>D66</f>
        <v>1009398585.5062267</v>
      </c>
      <c r="E21" s="13">
        <f t="shared" ref="D21:G22" si="7">E66</f>
        <v>0</v>
      </c>
      <c r="F21" s="13">
        <f t="shared" si="7"/>
        <v>95201310.318950087</v>
      </c>
      <c r="G21" s="14">
        <f t="shared" si="7"/>
        <v>0</v>
      </c>
      <c r="H21" s="13">
        <f>SUM(D21:G21)</f>
        <v>1104599895.8251767</v>
      </c>
      <c r="I21" s="13"/>
      <c r="J21" s="148">
        <f>H21-'iv) Schedule G1.2 Filed'!H21</f>
        <v>-212865.42311668396</v>
      </c>
      <c r="K21" s="157">
        <f>J21/D21</f>
        <v>-2.1088341728746246E-4</v>
      </c>
      <c r="L21" s="1">
        <v>1</v>
      </c>
      <c r="M21" s="2" t="s">
        <v>44</v>
      </c>
      <c r="N21" s="18">
        <f>H21</f>
        <v>1104599895.8251767</v>
      </c>
      <c r="O21" s="18">
        <v>0</v>
      </c>
      <c r="P21" s="18"/>
      <c r="Q21" s="18">
        <f>SUM(N21:P21)</f>
        <v>1104599895.8251767</v>
      </c>
      <c r="R21" s="1"/>
      <c r="W21" s="1">
        <v>3</v>
      </c>
      <c r="X21" s="2" t="s">
        <v>45</v>
      </c>
      <c r="Y21" s="14">
        <v>46146683.150106318</v>
      </c>
      <c r="Z21" s="14">
        <v>22940769.590034023</v>
      </c>
      <c r="AA21" s="14">
        <v>23205913.560072295</v>
      </c>
      <c r="AB21" s="15">
        <f t="shared" si="6"/>
        <v>0.49712716113121491</v>
      </c>
      <c r="AC21" s="15">
        <f t="shared" si="6"/>
        <v>0.50287283886878509</v>
      </c>
    </row>
    <row r="22" spans="1:30" ht="15" x14ac:dyDescent="0.25">
      <c r="A22" s="1">
        <v>2</v>
      </c>
      <c r="B22" s="19" t="s">
        <v>46</v>
      </c>
      <c r="C22" s="13">
        <f>C67</f>
        <v>0</v>
      </c>
      <c r="D22" s="13">
        <f t="shared" si="7"/>
        <v>0</v>
      </c>
      <c r="E22" s="13">
        <f t="shared" si="7"/>
        <v>0</v>
      </c>
      <c r="F22" s="13">
        <f t="shared" si="7"/>
        <v>0</v>
      </c>
      <c r="G22" s="13">
        <f t="shared" si="7"/>
        <v>0</v>
      </c>
      <c r="H22" s="20">
        <f>SUM(D22:G22)</f>
        <v>0</v>
      </c>
      <c r="I22" s="17"/>
      <c r="J22" s="150">
        <f>H22-'iv) Schedule G1.2 Filed'!H22</f>
        <v>0</v>
      </c>
      <c r="K22" s="150">
        <v>0</v>
      </c>
      <c r="L22" s="1">
        <v>2</v>
      </c>
      <c r="M22" s="19" t="s">
        <v>47</v>
      </c>
      <c r="O22" s="18">
        <v>0</v>
      </c>
      <c r="Q22" s="18">
        <f>SUM(N22:P22)</f>
        <v>0</v>
      </c>
      <c r="W22" s="1">
        <v>4</v>
      </c>
      <c r="X22" s="2" t="s">
        <v>48</v>
      </c>
      <c r="Y22" s="14">
        <v>465082406</v>
      </c>
      <c r="Z22" s="14">
        <v>231205096.18685511</v>
      </c>
      <c r="AA22" s="14">
        <v>233877309.81314489</v>
      </c>
      <c r="AB22" s="15">
        <f t="shared" si="6"/>
        <v>0.49712716113121491</v>
      </c>
      <c r="AC22" s="15">
        <f t="shared" si="6"/>
        <v>0.50287283886878509</v>
      </c>
    </row>
    <row r="23" spans="1:30" ht="18" customHeight="1" x14ac:dyDescent="0.2">
      <c r="A23" s="1">
        <v>3</v>
      </c>
      <c r="B23" s="19" t="s">
        <v>49</v>
      </c>
      <c r="C23" s="21">
        <f t="shared" ref="C23:H23" si="8">SUM(C21:C22)</f>
        <v>1104601717.28</v>
      </c>
      <c r="D23" s="21">
        <f t="shared" si="8"/>
        <v>1009398585.5062267</v>
      </c>
      <c r="E23" s="21">
        <f t="shared" si="8"/>
        <v>0</v>
      </c>
      <c r="F23" s="21">
        <f t="shared" si="8"/>
        <v>95201310.318950087</v>
      </c>
      <c r="G23" s="21">
        <f t="shared" si="8"/>
        <v>0</v>
      </c>
      <c r="H23" s="21">
        <f t="shared" si="8"/>
        <v>1104599895.8251767</v>
      </c>
      <c r="I23" s="22">
        <f>IF(D23&lt;&gt;0,C23/D23,0)</f>
        <v>1.0943166883139901</v>
      </c>
      <c r="J23" s="156">
        <f>H23-'iv) Schedule G1.2 Filed'!H23</f>
        <v>-212865.42311668396</v>
      </c>
      <c r="K23" s="159">
        <f>J23/D23</f>
        <v>-2.1088341728746246E-4</v>
      </c>
      <c r="L23" s="1">
        <v>3</v>
      </c>
      <c r="M23" s="19" t="s">
        <v>49</v>
      </c>
      <c r="N23" s="21">
        <f t="shared" ref="N23:Q23" si="9">SUM(N21:N22)</f>
        <v>1104599895.8251767</v>
      </c>
      <c r="O23" s="21">
        <f t="shared" si="9"/>
        <v>0</v>
      </c>
      <c r="P23" s="21">
        <f t="shared" si="9"/>
        <v>0</v>
      </c>
      <c r="Q23" s="21">
        <f t="shared" si="9"/>
        <v>1104599895.8251767</v>
      </c>
      <c r="W23" s="1">
        <v>5</v>
      </c>
      <c r="X23" s="2" t="s">
        <v>50</v>
      </c>
      <c r="Y23" s="21">
        <f>SUM(Y19:Y22)</f>
        <v>740185052</v>
      </c>
      <c r="Z23" s="21">
        <f t="shared" ref="Z23:AA23" si="10">SUM(Z19:Z22)</f>
        <v>367966093.61252069</v>
      </c>
      <c r="AA23" s="21">
        <f t="shared" si="10"/>
        <v>372218958.38747931</v>
      </c>
    </row>
    <row r="24" spans="1:30" x14ac:dyDescent="0.2">
      <c r="B24" s="23"/>
      <c r="C24" s="13"/>
      <c r="D24" s="13"/>
      <c r="E24" s="13"/>
      <c r="F24" s="13"/>
      <c r="H24" s="20"/>
      <c r="I24" s="17"/>
      <c r="J24" s="150">
        <f>H24-'iv) Schedule G1.2 Filed'!H24</f>
        <v>0</v>
      </c>
      <c r="K24" s="148">
        <v>0</v>
      </c>
      <c r="L24" s="1"/>
      <c r="M24" s="23"/>
    </row>
    <row r="25" spans="1:30" x14ac:dyDescent="0.2">
      <c r="A25" s="1">
        <v>4</v>
      </c>
      <c r="B25" s="2" t="s">
        <v>51</v>
      </c>
      <c r="C25" s="13">
        <f>C73</f>
        <v>77293440.879999995</v>
      </c>
      <c r="D25" s="13">
        <f>D73</f>
        <v>77296999.563576326</v>
      </c>
      <c r="E25" s="13">
        <f>E73</f>
        <v>0</v>
      </c>
      <c r="F25" s="13">
        <v>0</v>
      </c>
      <c r="H25" s="13">
        <f>H73</f>
        <v>77296999.563576326</v>
      </c>
      <c r="I25" s="17">
        <f>IF(D25&lt;&gt;0,C25/D25,0)</f>
        <v>0.99995396090926658</v>
      </c>
      <c r="J25" s="148">
        <f>H25-'iv) Schedule G1.2 Filed'!H25</f>
        <v>212191.32662251592</v>
      </c>
      <c r="K25" s="157">
        <f>J25/H25</f>
        <v>2.745143120956329E-3</v>
      </c>
      <c r="L25" s="1">
        <v>4</v>
      </c>
      <c r="M25" s="2" t="s">
        <v>51</v>
      </c>
      <c r="N25" s="13">
        <f>H25</f>
        <v>77296999.563576326</v>
      </c>
      <c r="O25" s="18">
        <v>0</v>
      </c>
      <c r="Q25" s="18">
        <f>SUM(N25:P25)</f>
        <v>77296999.563576326</v>
      </c>
      <c r="X25" s="2" t="s">
        <v>213</v>
      </c>
    </row>
    <row r="26" spans="1:30" x14ac:dyDescent="0.2">
      <c r="A26" s="1">
        <v>5</v>
      </c>
      <c r="B26" s="2" t="s">
        <v>52</v>
      </c>
      <c r="C26" s="13">
        <f>+C75</f>
        <v>0</v>
      </c>
      <c r="D26" s="13">
        <f>+D75</f>
        <v>0</v>
      </c>
      <c r="E26" s="13">
        <f>+E75</f>
        <v>0</v>
      </c>
      <c r="F26" s="13">
        <f>+F75</f>
        <v>0</v>
      </c>
      <c r="H26" s="13">
        <f>+H75</f>
        <v>0</v>
      </c>
      <c r="I26" s="17">
        <f t="shared" ref="I26:I36" si="11">IF(D26&lt;&gt;0,C26/D26,0)</f>
        <v>0</v>
      </c>
      <c r="J26" s="150">
        <f>H26-'iv) Schedule G1.2 Filed'!H26</f>
        <v>0</v>
      </c>
      <c r="K26" s="148">
        <v>0</v>
      </c>
      <c r="L26" s="1"/>
      <c r="N26" s="13"/>
    </row>
    <row r="27" spans="1:30" x14ac:dyDescent="0.2">
      <c r="A27" s="1">
        <v>6</v>
      </c>
      <c r="B27" s="2" t="s">
        <v>53</v>
      </c>
      <c r="C27" s="13">
        <f>+C223</f>
        <v>9171997.7694181111</v>
      </c>
      <c r="D27" s="13">
        <f>+D223</f>
        <v>9172199.8960632775</v>
      </c>
      <c r="E27" s="13">
        <f>+E223</f>
        <v>0</v>
      </c>
      <c r="F27" s="13">
        <v>0</v>
      </c>
      <c r="H27" s="20">
        <f>SUM(D27:F27)</f>
        <v>9172199.8960632775</v>
      </c>
      <c r="I27" s="17">
        <f t="shared" si="11"/>
        <v>0.99997796312253806</v>
      </c>
      <c r="J27" s="150">
        <f>H27-'iv) Schedule G1.2 Filed'!H27</f>
        <v>0</v>
      </c>
      <c r="K27" s="148">
        <v>0</v>
      </c>
      <c r="L27" s="1">
        <v>5</v>
      </c>
      <c r="M27" s="2" t="s">
        <v>53</v>
      </c>
      <c r="N27" s="13">
        <f t="shared" ref="N27:N29" si="12">H27</f>
        <v>9172199.8960632775</v>
      </c>
      <c r="Q27" s="18">
        <f>SUM(N27:P27)</f>
        <v>9172199.8960632775</v>
      </c>
    </row>
    <row r="28" spans="1:30" x14ac:dyDescent="0.2">
      <c r="A28" s="1">
        <v>7</v>
      </c>
      <c r="B28" s="2" t="s">
        <v>54</v>
      </c>
      <c r="C28" s="13">
        <f>+C225</f>
        <v>0</v>
      </c>
      <c r="D28" s="13">
        <f>+D225</f>
        <v>0</v>
      </c>
      <c r="E28" s="13">
        <f>+E225</f>
        <v>0</v>
      </c>
      <c r="F28" s="13">
        <v>0</v>
      </c>
      <c r="H28" s="20">
        <f>+C28</f>
        <v>0</v>
      </c>
      <c r="I28" s="17">
        <f t="shared" si="11"/>
        <v>0</v>
      </c>
      <c r="J28" s="150">
        <f>H28-'iv) Schedule G1.2 Filed'!H28</f>
        <v>0</v>
      </c>
      <c r="K28" s="148">
        <v>0</v>
      </c>
      <c r="L28" s="1">
        <v>6</v>
      </c>
      <c r="M28" s="2" t="s">
        <v>54</v>
      </c>
      <c r="N28" s="13">
        <f t="shared" si="12"/>
        <v>0</v>
      </c>
      <c r="Q28" s="18">
        <f t="shared" ref="Q28:Q29" si="13">SUM(N28:P28)</f>
        <v>0</v>
      </c>
      <c r="AD28" s="1" t="s">
        <v>55</v>
      </c>
    </row>
    <row r="29" spans="1:30" x14ac:dyDescent="0.2">
      <c r="A29" s="1">
        <v>8</v>
      </c>
      <c r="B29" s="2" t="s">
        <v>56</v>
      </c>
      <c r="C29" s="13">
        <f>C236</f>
        <v>21931248.037172787</v>
      </c>
      <c r="D29" s="13">
        <f>D236</f>
        <v>20039019.906508639</v>
      </c>
      <c r="E29" s="13">
        <f>E236</f>
        <v>0</v>
      </c>
      <c r="F29" s="13">
        <f>C324</f>
        <v>1889977.8343263578</v>
      </c>
      <c r="H29" s="20">
        <f>SUM(D29:F29)</f>
        <v>21928997.740834996</v>
      </c>
      <c r="I29" s="17">
        <f>IF(D29&lt;&gt;0,C29/D29,0)</f>
        <v>1.0944271795473168</v>
      </c>
      <c r="J29" s="148">
        <f>H29-'iv) Schedule G1.2 Filed'!H29</f>
        <v>674.09649435058236</v>
      </c>
      <c r="K29" s="158">
        <f>J29/D29</f>
        <v>3.363919480571188E-5</v>
      </c>
      <c r="L29" s="1">
        <v>7</v>
      </c>
      <c r="M29" s="2" t="s">
        <v>56</v>
      </c>
      <c r="N29" s="13">
        <f t="shared" si="12"/>
        <v>21928997.740834996</v>
      </c>
      <c r="Q29" s="18">
        <f t="shared" si="13"/>
        <v>21928997.740834996</v>
      </c>
      <c r="Y29" s="8" t="s">
        <v>16</v>
      </c>
      <c r="Z29" s="1" t="s">
        <v>57</v>
      </c>
      <c r="AA29" s="1" t="s">
        <v>57</v>
      </c>
      <c r="AB29" s="1" t="s">
        <v>57</v>
      </c>
      <c r="AC29" s="1" t="s">
        <v>57</v>
      </c>
      <c r="AD29" s="8" t="s">
        <v>58</v>
      </c>
    </row>
    <row r="30" spans="1:30" x14ac:dyDescent="0.2">
      <c r="C30" s="13"/>
      <c r="D30" s="13"/>
      <c r="E30" s="13"/>
      <c r="F30" s="13"/>
      <c r="H30" s="13"/>
      <c r="I30" s="17"/>
      <c r="J30" s="150">
        <f>H30-'iv) Schedule G1.2 Filed'!H30</f>
        <v>0</v>
      </c>
      <c r="K30" s="148">
        <v>0</v>
      </c>
      <c r="L30" s="1"/>
      <c r="Y30" s="8" t="s">
        <v>24</v>
      </c>
      <c r="Z30" s="1" t="s">
        <v>36</v>
      </c>
      <c r="AA30" s="1" t="s">
        <v>36</v>
      </c>
      <c r="AB30" s="1" t="s">
        <v>37</v>
      </c>
      <c r="AC30" s="1" t="s">
        <v>37</v>
      </c>
      <c r="AD30" s="8" t="s">
        <v>59</v>
      </c>
    </row>
    <row r="31" spans="1:30" x14ac:dyDescent="0.2">
      <c r="B31" s="24" t="s">
        <v>60</v>
      </c>
      <c r="C31" s="25"/>
      <c r="D31" s="25"/>
      <c r="E31" s="25"/>
      <c r="F31" s="25"/>
      <c r="H31" s="20"/>
      <c r="I31" s="17"/>
      <c r="J31" s="150">
        <f>H31-'iv) Schedule G1.2 Filed'!H31</f>
        <v>0</v>
      </c>
      <c r="K31" s="148">
        <v>0</v>
      </c>
      <c r="L31" s="1"/>
      <c r="M31" s="24" t="s">
        <v>60</v>
      </c>
      <c r="Y31" s="1" t="s">
        <v>35</v>
      </c>
      <c r="Z31" s="1" t="s">
        <v>61</v>
      </c>
      <c r="AB31" s="1" t="s">
        <v>62</v>
      </c>
      <c r="AD31" s="1" t="s">
        <v>35</v>
      </c>
    </row>
    <row r="32" spans="1:30" x14ac:dyDescent="0.2">
      <c r="A32" s="1">
        <v>9</v>
      </c>
      <c r="B32" s="2" t="s">
        <v>63</v>
      </c>
      <c r="C32" s="13">
        <f>C87</f>
        <v>68909057.952898145</v>
      </c>
      <c r="D32" s="13">
        <f>D87</f>
        <v>119436389.1743222</v>
      </c>
      <c r="E32" s="13">
        <f>E87</f>
        <v>0</v>
      </c>
      <c r="F32" s="20">
        <f>C32-D32-E32</f>
        <v>-50527331.221424058</v>
      </c>
      <c r="H32" s="20">
        <f>SUM(D32:F32)</f>
        <v>68909057.952898145</v>
      </c>
      <c r="I32" s="17">
        <f t="shared" si="11"/>
        <v>0.57695195266094834</v>
      </c>
      <c r="J32" s="150">
        <f>H32-'iv) Schedule G1.2 Filed'!H32</f>
        <v>0</v>
      </c>
      <c r="K32" s="148">
        <v>0</v>
      </c>
      <c r="L32" s="1">
        <v>8</v>
      </c>
      <c r="M32" s="2" t="s">
        <v>63</v>
      </c>
      <c r="N32" s="13">
        <f t="shared" ref="N32:N36" si="14">H32</f>
        <v>68909057.952898145</v>
      </c>
      <c r="Q32" s="18">
        <f t="shared" ref="Q32:Q36" si="15">SUM(N32:P32)</f>
        <v>68909057.952898145</v>
      </c>
      <c r="W32" s="1"/>
      <c r="Y32" s="1" t="s">
        <v>40</v>
      </c>
      <c r="Z32" s="1" t="s">
        <v>41</v>
      </c>
      <c r="AA32" s="1" t="s">
        <v>40</v>
      </c>
      <c r="AB32" s="1" t="s">
        <v>41</v>
      </c>
      <c r="AC32" s="1" t="s">
        <v>40</v>
      </c>
      <c r="AD32" s="1" t="s">
        <v>41</v>
      </c>
    </row>
    <row r="33" spans="1:30" x14ac:dyDescent="0.2">
      <c r="A33" s="1">
        <v>10</v>
      </c>
      <c r="B33" s="2" t="s">
        <v>64</v>
      </c>
      <c r="C33" s="13">
        <f>C128</f>
        <v>1717948.9398972169</v>
      </c>
      <c r="D33" s="13">
        <f>D128</f>
        <v>10404401.507694557</v>
      </c>
      <c r="E33" s="13">
        <f>E128</f>
        <v>0</v>
      </c>
      <c r="F33" s="20">
        <f>C33-D33-E33</f>
        <v>-8686452.5677973405</v>
      </c>
      <c r="H33" s="20">
        <f>SUM(D33:F33)</f>
        <v>1717948.9398972169</v>
      </c>
      <c r="I33" s="17">
        <f t="shared" si="11"/>
        <v>0.16511751671893002</v>
      </c>
      <c r="J33" s="150">
        <f>H33-'iv) Schedule G1.2 Filed'!H33</f>
        <v>0</v>
      </c>
      <c r="K33" s="148">
        <v>0</v>
      </c>
      <c r="L33" s="1">
        <v>9</v>
      </c>
      <c r="M33" s="2" t="s">
        <v>64</v>
      </c>
      <c r="N33" s="13">
        <f t="shared" si="14"/>
        <v>1717948.9398972169</v>
      </c>
      <c r="Q33" s="18">
        <f t="shared" si="15"/>
        <v>1717948.9398972169</v>
      </c>
      <c r="W33" s="1"/>
      <c r="X33" s="16" t="s">
        <v>8</v>
      </c>
    </row>
    <row r="34" spans="1:30" ht="16.5" x14ac:dyDescent="0.3">
      <c r="A34" s="1">
        <v>11</v>
      </c>
      <c r="B34" s="2" t="s">
        <v>65</v>
      </c>
      <c r="C34" s="13">
        <f>C166</f>
        <v>11969343.183470888</v>
      </c>
      <c r="D34" s="13">
        <f>D166</f>
        <v>44165488.189015225</v>
      </c>
      <c r="E34" s="13">
        <f>E166</f>
        <v>0</v>
      </c>
      <c r="F34" s="20">
        <f>C34-D34-E34</f>
        <v>-32196145.005544335</v>
      </c>
      <c r="H34" s="20">
        <f>SUM(D34:F34)</f>
        <v>11969343.18347089</v>
      </c>
      <c r="I34" s="17">
        <f t="shared" si="11"/>
        <v>0.27101122786746157</v>
      </c>
      <c r="J34" s="150">
        <f>H34-'iv) Schedule G1.2 Filed'!H34</f>
        <v>0</v>
      </c>
      <c r="K34" s="148">
        <v>0</v>
      </c>
      <c r="L34" s="1">
        <v>10</v>
      </c>
      <c r="M34" s="2" t="s">
        <v>65</v>
      </c>
      <c r="N34" s="13">
        <f t="shared" si="14"/>
        <v>11969343.18347089</v>
      </c>
      <c r="Q34" s="18">
        <f t="shared" si="15"/>
        <v>11969343.18347089</v>
      </c>
      <c r="W34" s="1">
        <v>1</v>
      </c>
      <c r="X34" s="2" t="s">
        <v>44</v>
      </c>
      <c r="Y34" s="14">
        <f>SUM(AA34,AC34)</f>
        <v>642307199.01942611</v>
      </c>
      <c r="Z34" s="27">
        <v>0.88738604118773867</v>
      </c>
      <c r="AA34" s="14">
        <f>AA$44*Z34</f>
        <v>326527975.10213161</v>
      </c>
      <c r="AB34" s="27">
        <v>0.8483695330439589</v>
      </c>
      <c r="AC34" s="14">
        <f>AC$44*AB34</f>
        <v>315779223.91729456</v>
      </c>
      <c r="AD34" s="27">
        <f>Y34/Y$44</f>
        <v>0.8677656989747291</v>
      </c>
    </row>
    <row r="35" spans="1:30" ht="16.5" x14ac:dyDescent="0.3">
      <c r="A35" s="1">
        <v>12</v>
      </c>
      <c r="B35" s="2" t="s">
        <v>66</v>
      </c>
      <c r="C35" s="13">
        <f>C198</f>
        <v>4077136.5066004382</v>
      </c>
      <c r="D35" s="13">
        <f>D198</f>
        <v>9758495.865111161</v>
      </c>
      <c r="E35" s="13">
        <f>E198</f>
        <v>0</v>
      </c>
      <c r="F35" s="20">
        <f>C35-D35-E35</f>
        <v>-5681359.3585107233</v>
      </c>
      <c r="H35" s="28">
        <f>SUM(D35:F35)</f>
        <v>4077136.5066004377</v>
      </c>
      <c r="I35" s="17">
        <f t="shared" si="11"/>
        <v>0.41780378482068403</v>
      </c>
      <c r="J35" s="150">
        <f>H35-'iv) Schedule G1.2 Filed'!H35</f>
        <v>0</v>
      </c>
      <c r="K35" s="148">
        <v>0</v>
      </c>
      <c r="L35" s="1">
        <v>11</v>
      </c>
      <c r="M35" s="2" t="s">
        <v>66</v>
      </c>
      <c r="N35" s="13">
        <f t="shared" si="14"/>
        <v>4077136.5066004377</v>
      </c>
      <c r="Q35" s="18">
        <f t="shared" si="15"/>
        <v>4077136.5066004377</v>
      </c>
      <c r="W35" s="1">
        <v>2</v>
      </c>
      <c r="X35" s="19" t="s">
        <v>47</v>
      </c>
      <c r="Y35" s="14">
        <f>SUM(AA35,AC35)</f>
        <v>47345155.223936856</v>
      </c>
      <c r="Z35" s="27">
        <v>6.2801465870849699E-2</v>
      </c>
      <c r="AA35" s="14">
        <f>AA$44*Z35</f>
        <v>23108810.069636602</v>
      </c>
      <c r="AB35" s="27">
        <v>6.5113140016555132E-2</v>
      </c>
      <c r="AC35" s="14">
        <f>AC$44*AB35</f>
        <v>24236345.15430025</v>
      </c>
      <c r="AD35" s="27">
        <f>Y35/Y$44</f>
        <v>6.3963944011040177E-2</v>
      </c>
    </row>
    <row r="36" spans="1:30" x14ac:dyDescent="0.2">
      <c r="A36" s="1">
        <v>13</v>
      </c>
      <c r="B36" s="2" t="s">
        <v>67</v>
      </c>
      <c r="C36" s="13">
        <v>0</v>
      </c>
      <c r="D36" s="13">
        <v>0</v>
      </c>
      <c r="E36" s="13">
        <f>-E225</f>
        <v>0</v>
      </c>
      <c r="F36" s="20">
        <f>C36-D36-E36</f>
        <v>0</v>
      </c>
      <c r="H36" s="28">
        <f>SUM(D36:F36)</f>
        <v>0</v>
      </c>
      <c r="I36" s="17">
        <f t="shared" si="11"/>
        <v>0</v>
      </c>
      <c r="J36" s="150">
        <f>H36-'iv) Schedule G1.2 Filed'!H36</f>
        <v>0</v>
      </c>
      <c r="K36" s="148">
        <v>0</v>
      </c>
      <c r="L36" s="1">
        <v>12</v>
      </c>
      <c r="M36" s="2" t="s">
        <v>67</v>
      </c>
      <c r="N36" s="13">
        <f t="shared" si="14"/>
        <v>0</v>
      </c>
      <c r="Q36" s="18">
        <f t="shared" si="15"/>
        <v>0</v>
      </c>
      <c r="W36" s="1">
        <v>3</v>
      </c>
      <c r="X36" s="19" t="s">
        <v>49</v>
      </c>
      <c r="Y36" s="21">
        <f t="shared" ref="Y36:AD36" si="16">SUM(Y34:Y35)</f>
        <v>689652354.2433629</v>
      </c>
      <c r="Z36" s="29">
        <f t="shared" si="16"/>
        <v>0.95018750705858834</v>
      </c>
      <c r="AA36" s="21">
        <f t="shared" si="16"/>
        <v>349636785.17176819</v>
      </c>
      <c r="AB36" s="29">
        <f t="shared" si="16"/>
        <v>0.91348267306051401</v>
      </c>
      <c r="AC36" s="21">
        <f t="shared" si="16"/>
        <v>340015569.07159483</v>
      </c>
      <c r="AD36" s="29">
        <f t="shared" si="16"/>
        <v>0.93172964298576932</v>
      </c>
    </row>
    <row r="37" spans="1:30" x14ac:dyDescent="0.2">
      <c r="C37" s="13"/>
      <c r="D37" s="13"/>
      <c r="E37" s="13"/>
      <c r="F37" s="28"/>
      <c r="H37" s="28"/>
      <c r="I37" s="30"/>
      <c r="J37" s="151">
        <f>H37-'iv) Schedule G1.2 Filed'!H37</f>
        <v>0</v>
      </c>
      <c r="K37" s="148">
        <v>0</v>
      </c>
      <c r="L37" s="1"/>
      <c r="W37" s="1"/>
      <c r="X37" s="23"/>
      <c r="Z37" s="1"/>
      <c r="AB37" s="1"/>
    </row>
    <row r="38" spans="1:30" ht="16.5" x14ac:dyDescent="0.3">
      <c r="A38" s="1">
        <v>14</v>
      </c>
      <c r="B38" s="16" t="s">
        <v>68</v>
      </c>
      <c r="C38" s="31">
        <f t="shared" ref="C38:H38" si="17">SUM(C32:C36)</f>
        <v>86673486.582866684</v>
      </c>
      <c r="D38" s="31">
        <f t="shared" si="17"/>
        <v>183764774.73614317</v>
      </c>
      <c r="E38" s="31">
        <f t="shared" si="17"/>
        <v>0</v>
      </c>
      <c r="F38" s="31">
        <f t="shared" si="17"/>
        <v>-97091288.153276458</v>
      </c>
      <c r="G38" s="31">
        <f t="shared" si="17"/>
        <v>0</v>
      </c>
      <c r="H38" s="31">
        <f t="shared" si="17"/>
        <v>86673486.582866684</v>
      </c>
      <c r="I38" s="32">
        <f>IF(D38&lt;&gt;0,C38/D38,0)</f>
        <v>0.47165451979203277</v>
      </c>
      <c r="J38" s="152">
        <f>H38-'iv) Schedule G1.2 Filed'!H38</f>
        <v>0</v>
      </c>
      <c r="K38" s="152">
        <v>0</v>
      </c>
      <c r="L38" s="1">
        <v>13</v>
      </c>
      <c r="M38" s="16" t="s">
        <v>68</v>
      </c>
      <c r="N38" s="31">
        <f t="shared" ref="N38:Q38" si="18">SUM(N32:N36)</f>
        <v>86673486.582866684</v>
      </c>
      <c r="O38" s="31">
        <f t="shared" si="18"/>
        <v>0</v>
      </c>
      <c r="P38" s="31">
        <f t="shared" si="18"/>
        <v>0</v>
      </c>
      <c r="Q38" s="31">
        <f t="shared" si="18"/>
        <v>86673486.582866684</v>
      </c>
      <c r="W38" s="1">
        <v>4</v>
      </c>
      <c r="X38" s="2" t="s">
        <v>51</v>
      </c>
      <c r="Y38" s="14">
        <f>SUM(AA38,AC38)</f>
        <v>50532697.756636947</v>
      </c>
      <c r="Z38" s="27">
        <v>4.9812492941411594E-2</v>
      </c>
      <c r="AA38" s="14">
        <f>AA$44*Z38</f>
        <v>18329308.440752484</v>
      </c>
      <c r="AB38" s="27">
        <v>8.6517326939485953E-2</v>
      </c>
      <c r="AC38" s="14">
        <f>AC$44*AB38</f>
        <v>32203389.315884463</v>
      </c>
      <c r="AD38" s="27">
        <f>Y38/Y$44</f>
        <v>6.8270357014230759E-2</v>
      </c>
    </row>
    <row r="39" spans="1:30" x14ac:dyDescent="0.2">
      <c r="C39" s="20"/>
      <c r="D39" s="20"/>
      <c r="E39" s="20"/>
      <c r="F39" s="20"/>
      <c r="H39" s="20"/>
      <c r="I39" s="33"/>
      <c r="J39" s="153">
        <f>H39-'iv) Schedule G1.2 Filed'!H39</f>
        <v>0</v>
      </c>
      <c r="K39" s="148">
        <v>0</v>
      </c>
      <c r="L39" s="1"/>
      <c r="W39" s="1"/>
      <c r="AD39" s="13"/>
    </row>
    <row r="40" spans="1:30" ht="13.5" thickBot="1" x14ac:dyDescent="0.25">
      <c r="A40" s="1">
        <v>15</v>
      </c>
      <c r="B40" s="16" t="s">
        <v>69</v>
      </c>
      <c r="C40" s="34">
        <f t="shared" ref="C40:H40" si="19">SUM(C23:C29,C38)</f>
        <v>1299671890.5494573</v>
      </c>
      <c r="D40" s="34">
        <f t="shared" si="19"/>
        <v>1299671579.6085181</v>
      </c>
      <c r="E40" s="34">
        <f t="shared" si="19"/>
        <v>0</v>
      </c>
      <c r="F40" s="34">
        <f t="shared" si="19"/>
        <v>0</v>
      </c>
      <c r="G40" s="34">
        <f t="shared" si="19"/>
        <v>0</v>
      </c>
      <c r="H40" s="34">
        <f t="shared" si="19"/>
        <v>1299671579.6085179</v>
      </c>
      <c r="I40" s="35">
        <f>IF(D40&lt;&gt;0,C40/D40,0)</f>
        <v>1.0000002392457787</v>
      </c>
      <c r="J40" s="154">
        <f>H40-'iv) Schedule G1.2 Filed'!H40</f>
        <v>0</v>
      </c>
      <c r="K40" s="154">
        <v>0</v>
      </c>
      <c r="L40" s="1">
        <v>14</v>
      </c>
      <c r="M40" s="16" t="s">
        <v>69</v>
      </c>
      <c r="N40" s="34">
        <f t="shared" ref="N40:Q40" si="20">SUM(N23:N29,N38)</f>
        <v>1299671579.6085179</v>
      </c>
      <c r="O40" s="34">
        <f t="shared" si="20"/>
        <v>0</v>
      </c>
      <c r="P40" s="34">
        <f t="shared" si="20"/>
        <v>0</v>
      </c>
      <c r="Q40" s="34">
        <f t="shared" si="20"/>
        <v>1299671579.6085179</v>
      </c>
      <c r="W40" s="1">
        <v>5</v>
      </c>
      <c r="X40" s="2" t="s">
        <v>53</v>
      </c>
      <c r="AD40" s="13"/>
    </row>
    <row r="41" spans="1:30" ht="13.5" thickTop="1" x14ac:dyDescent="0.2">
      <c r="C41" s="36"/>
      <c r="D41" s="13"/>
      <c r="H41" s="13"/>
      <c r="I41" s="17"/>
      <c r="L41" s="1"/>
      <c r="W41" s="1">
        <v>6</v>
      </c>
      <c r="X41" s="2" t="s">
        <v>54</v>
      </c>
      <c r="AD41" s="13"/>
    </row>
    <row r="42" spans="1:30" ht="14.25" x14ac:dyDescent="0.2">
      <c r="A42" s="37"/>
      <c r="B42" s="33"/>
      <c r="C42" s="36"/>
      <c r="D42" s="36"/>
      <c r="H42" s="13"/>
      <c r="I42" s="17"/>
      <c r="L42" s="37">
        <v>1</v>
      </c>
      <c r="M42" s="2" t="str">
        <f>"The $"&amp;TEXT(ABS(O22),"0,000")&amp;" represents the Island Interconnected Rural rate mitigation allocation."</f>
        <v>The $0,000 represents the Island Interconnected Rural rate mitigation allocation.</v>
      </c>
      <c r="W42" s="1">
        <v>7</v>
      </c>
      <c r="X42" s="2" t="s">
        <v>56</v>
      </c>
      <c r="AD42" s="13"/>
    </row>
    <row r="43" spans="1:30" x14ac:dyDescent="0.2">
      <c r="B43" s="19"/>
      <c r="C43" s="38"/>
      <c r="D43" s="38"/>
      <c r="E43" s="39"/>
      <c r="H43" s="13"/>
      <c r="W43" s="1"/>
    </row>
    <row r="44" spans="1:30" ht="13.5" thickBot="1" x14ac:dyDescent="0.25">
      <c r="C44" s="13"/>
      <c r="D44" s="13"/>
      <c r="E44" s="38"/>
      <c r="H44" s="13"/>
      <c r="W44" s="1">
        <v>8</v>
      </c>
      <c r="X44" s="16" t="s">
        <v>69</v>
      </c>
      <c r="Y44" s="34">
        <f>SUM(Y36:Y38)</f>
        <v>740185051.99999988</v>
      </c>
      <c r="Z44" s="40">
        <f>SUM(Z36:Z42)</f>
        <v>0.99999999999999989</v>
      </c>
      <c r="AA44" s="34">
        <f>Z23</f>
        <v>367966093.61252069</v>
      </c>
      <c r="AB44" s="40">
        <f>SUM(AB36:AB42)</f>
        <v>1</v>
      </c>
      <c r="AC44" s="34">
        <f>AA23</f>
        <v>372218958.38747931</v>
      </c>
      <c r="AD44" s="40">
        <f>SUM(AD36:AD42)</f>
        <v>1</v>
      </c>
    </row>
    <row r="45" spans="1:30" ht="13.5" thickTop="1" x14ac:dyDescent="0.2">
      <c r="B45" s="41"/>
      <c r="C45" s="13"/>
      <c r="W45" s="1"/>
      <c r="AD45" s="13"/>
    </row>
    <row r="46" spans="1:30" x14ac:dyDescent="0.2">
      <c r="B46" s="41"/>
      <c r="D46" s="17"/>
      <c r="F46" s="17"/>
      <c r="H46" s="17"/>
      <c r="K46" s="17"/>
      <c r="W46" s="1"/>
    </row>
    <row r="47" spans="1:30" x14ac:dyDescent="0.2">
      <c r="D47" s="17"/>
      <c r="F47" s="17"/>
      <c r="K47" s="17"/>
      <c r="W47" s="1"/>
      <c r="X47" s="16"/>
    </row>
    <row r="48" spans="1:30" ht="20.25" customHeight="1" x14ac:dyDescent="0.2">
      <c r="D48" s="17"/>
      <c r="I48" s="4" t="s">
        <v>0</v>
      </c>
      <c r="W48" s="1"/>
    </row>
    <row r="49" spans="1:23" x14ac:dyDescent="0.2">
      <c r="I49" s="4" t="s">
        <v>70</v>
      </c>
    </row>
    <row r="50" spans="1:23" x14ac:dyDescent="0.2">
      <c r="I50" s="5"/>
      <c r="R50" s="1"/>
      <c r="W50" s="1"/>
    </row>
    <row r="51" spans="1:23" ht="14.25" x14ac:dyDescent="0.2">
      <c r="W51" s="37"/>
    </row>
    <row r="52" spans="1:23" x14ac:dyDescent="0.2">
      <c r="A52" s="6" t="str">
        <f>+A6</f>
        <v>NEWFOUNDLAND AND LABRADOR HYDRO</v>
      </c>
      <c r="B52" s="6"/>
      <c r="C52" s="6"/>
      <c r="D52" s="6"/>
      <c r="E52" s="6"/>
      <c r="F52" s="6"/>
      <c r="G52" s="6"/>
      <c r="H52" s="6"/>
      <c r="I52" s="6"/>
    </row>
    <row r="53" spans="1:23" x14ac:dyDescent="0.2">
      <c r="A53" s="6" t="str">
        <f>RunName</f>
        <v>2027 Test Year Cost of Service Study (No Rate Mitigation and Holyrood at 18.43%)</v>
      </c>
      <c r="B53" s="6"/>
      <c r="C53" s="6"/>
      <c r="D53" s="6"/>
      <c r="E53" s="6"/>
      <c r="F53" s="6"/>
      <c r="G53" s="6"/>
      <c r="H53" s="6"/>
      <c r="I53" s="6"/>
    </row>
    <row r="54" spans="1:23" x14ac:dyDescent="0.2">
      <c r="A54" s="6" t="s">
        <v>63</v>
      </c>
      <c r="B54" s="6"/>
      <c r="C54" s="6"/>
      <c r="D54" s="6"/>
      <c r="E54" s="6"/>
      <c r="F54" s="6"/>
      <c r="G54" s="6"/>
      <c r="H54" s="6"/>
      <c r="I54" s="6"/>
    </row>
    <row r="55" spans="1:23" x14ac:dyDescent="0.2">
      <c r="A55" s="6" t="s">
        <v>9</v>
      </c>
      <c r="B55" s="6"/>
      <c r="C55" s="6"/>
      <c r="D55" s="6"/>
      <c r="E55" s="6"/>
      <c r="F55" s="6"/>
      <c r="G55" s="6"/>
      <c r="H55" s="6"/>
      <c r="I55" s="6"/>
    </row>
    <row r="56" spans="1:23" x14ac:dyDescent="0.2">
      <c r="B56" s="42"/>
      <c r="C56" s="42"/>
      <c r="D56" s="42"/>
      <c r="E56" s="42"/>
      <c r="F56" s="42"/>
      <c r="H56" s="42"/>
      <c r="I56" s="42"/>
    </row>
    <row r="57" spans="1:23" x14ac:dyDescent="0.2">
      <c r="B57" s="1">
        <f t="shared" ref="B57:I57" si="21">MAX(A57)+NoOne</f>
        <v>1</v>
      </c>
      <c r="C57" s="1">
        <f t="shared" si="21"/>
        <v>2</v>
      </c>
      <c r="D57" s="1">
        <f t="shared" si="21"/>
        <v>3</v>
      </c>
      <c r="E57" s="1">
        <f t="shared" si="21"/>
        <v>4</v>
      </c>
      <c r="F57" s="1">
        <f t="shared" si="21"/>
        <v>5</v>
      </c>
      <c r="G57" s="1">
        <f t="shared" si="21"/>
        <v>6</v>
      </c>
      <c r="H57" s="1">
        <v>6</v>
      </c>
      <c r="I57" s="1">
        <f t="shared" si="21"/>
        <v>7</v>
      </c>
    </row>
    <row r="58" spans="1:23" x14ac:dyDescent="0.2">
      <c r="E58" s="1"/>
      <c r="G58" s="1"/>
      <c r="H58" s="1"/>
      <c r="I58" s="1"/>
    </row>
    <row r="59" spans="1:23" s="1" customFormat="1" x14ac:dyDescent="0.2">
      <c r="D59" s="8" t="s">
        <v>12</v>
      </c>
      <c r="G59" s="2"/>
      <c r="H59" s="8" t="s">
        <v>13</v>
      </c>
      <c r="I59" s="1" t="s">
        <v>14</v>
      </c>
    </row>
    <row r="60" spans="1:23" s="1" customFormat="1" x14ac:dyDescent="0.2">
      <c r="A60" s="1" t="s">
        <v>17</v>
      </c>
      <c r="D60" s="1" t="s">
        <v>18</v>
      </c>
      <c r="E60" s="1" t="s">
        <v>14</v>
      </c>
      <c r="F60" s="1" t="s">
        <v>30</v>
      </c>
      <c r="G60" s="8" t="s">
        <v>19</v>
      </c>
      <c r="H60" s="8" t="s">
        <v>20</v>
      </c>
      <c r="I60" s="1" t="s">
        <v>21</v>
      </c>
    </row>
    <row r="61" spans="1:23" x14ac:dyDescent="0.2">
      <c r="A61" s="1" t="s">
        <v>25</v>
      </c>
      <c r="B61" s="1" t="s">
        <v>26</v>
      </c>
      <c r="C61" s="1" t="s">
        <v>27</v>
      </c>
      <c r="D61" s="1" t="s">
        <v>28</v>
      </c>
      <c r="E61" s="1" t="s">
        <v>71</v>
      </c>
      <c r="F61" s="1" t="s">
        <v>72</v>
      </c>
      <c r="G61" s="1" t="s">
        <v>31</v>
      </c>
      <c r="H61" s="1" t="s">
        <v>28</v>
      </c>
      <c r="I61" s="1" t="s">
        <v>32</v>
      </c>
    </row>
    <row r="62" spans="1:23" x14ac:dyDescent="0.2">
      <c r="B62" s="1"/>
      <c r="C62" s="1"/>
      <c r="D62" s="1"/>
      <c r="E62" s="1"/>
      <c r="F62" s="1"/>
      <c r="H62" s="11" t="s">
        <v>38</v>
      </c>
      <c r="I62" s="1" t="s">
        <v>39</v>
      </c>
    </row>
    <row r="63" spans="1:23" x14ac:dyDescent="0.2">
      <c r="B63" s="1"/>
      <c r="C63" s="1" t="s">
        <v>40</v>
      </c>
      <c r="D63" s="1" t="s">
        <v>40</v>
      </c>
      <c r="E63" s="1" t="s">
        <v>40</v>
      </c>
      <c r="F63" s="1" t="s">
        <v>40</v>
      </c>
      <c r="G63" s="1" t="s">
        <v>40</v>
      </c>
      <c r="H63" s="1" t="s">
        <v>40</v>
      </c>
      <c r="I63" s="1"/>
    </row>
    <row r="64" spans="1:23" x14ac:dyDescent="0.2">
      <c r="H64" s="13"/>
    </row>
    <row r="65" spans="1:18" x14ac:dyDescent="0.2">
      <c r="B65" s="16" t="s">
        <v>63</v>
      </c>
      <c r="H65" s="13"/>
    </row>
    <row r="66" spans="1:18" x14ac:dyDescent="0.2">
      <c r="A66" s="1">
        <v>1</v>
      </c>
      <c r="B66" s="23" t="s">
        <v>44</v>
      </c>
      <c r="C66" s="13">
        <v>1104601717.28</v>
      </c>
      <c r="D66" s="13">
        <v>1009398585.5062267</v>
      </c>
      <c r="E66" s="13">
        <f>(D66/($D$66+$D$70+$D$87))*-$E$95</f>
        <v>0</v>
      </c>
      <c r="F66" s="13">
        <f>+C320-D273</f>
        <v>95201310.318950087</v>
      </c>
      <c r="G66" s="13">
        <f>-G67</f>
        <v>0</v>
      </c>
      <c r="H66" s="13">
        <f>SUM(D66:G66)</f>
        <v>1104599895.8251767</v>
      </c>
      <c r="I66" s="43"/>
      <c r="J66" s="15"/>
    </row>
    <row r="67" spans="1:18" ht="15" x14ac:dyDescent="0.25">
      <c r="A67" s="1">
        <v>2</v>
      </c>
      <c r="B67" s="2" t="s">
        <v>73</v>
      </c>
      <c r="C67" s="44">
        <v>0</v>
      </c>
      <c r="D67" s="45"/>
      <c r="E67" s="45"/>
      <c r="F67" s="45"/>
      <c r="G67" s="13"/>
      <c r="H67" s="45">
        <f>SUM(D67:G67)</f>
        <v>0</v>
      </c>
      <c r="I67" s="46"/>
    </row>
    <row r="68" spans="1:18" ht="20.25" customHeight="1" x14ac:dyDescent="0.2">
      <c r="A68" s="1">
        <v>3</v>
      </c>
      <c r="B68" s="24" t="s">
        <v>49</v>
      </c>
      <c r="C68" s="21">
        <f t="shared" ref="C68:H68" si="22">SUM(C66:C67)</f>
        <v>1104601717.28</v>
      </c>
      <c r="D68" s="21">
        <f t="shared" si="22"/>
        <v>1009398585.5062267</v>
      </c>
      <c r="E68" s="21">
        <f t="shared" si="22"/>
        <v>0</v>
      </c>
      <c r="F68" s="21">
        <f t="shared" si="22"/>
        <v>95201310.318950087</v>
      </c>
      <c r="G68" s="21">
        <f t="shared" si="22"/>
        <v>0</v>
      </c>
      <c r="H68" s="21">
        <f t="shared" si="22"/>
        <v>1104599895.8251767</v>
      </c>
      <c r="I68" s="22">
        <f>IF(D68&lt;&gt;0,C68/D68,0)</f>
        <v>1.0943166883139901</v>
      </c>
    </row>
    <row r="69" spans="1:18" ht="20.25" customHeight="1" x14ac:dyDescent="0.2">
      <c r="B69" s="16"/>
      <c r="C69" s="47"/>
      <c r="D69" s="47"/>
      <c r="E69" s="47"/>
      <c r="F69" s="47"/>
      <c r="H69" s="47"/>
      <c r="I69" s="48"/>
    </row>
    <row r="70" spans="1:18" x14ac:dyDescent="0.2">
      <c r="A70" s="1">
        <v>4</v>
      </c>
      <c r="B70" s="2" t="s">
        <v>74</v>
      </c>
      <c r="C70" s="13">
        <v>77293440.879999995</v>
      </c>
      <c r="D70" s="13">
        <v>77296999.563576326</v>
      </c>
      <c r="E70" s="13">
        <f>(D70/($D$66+$D$70+$D$87))*-$E$95</f>
        <v>0</v>
      </c>
      <c r="F70" s="13"/>
      <c r="H70" s="13">
        <f>SUM(D70:F70)</f>
        <v>77296999.563576326</v>
      </c>
      <c r="I70" s="43"/>
      <c r="J70" s="15"/>
    </row>
    <row r="71" spans="1:18" x14ac:dyDescent="0.2">
      <c r="A71" s="1">
        <v>5</v>
      </c>
      <c r="B71" s="2" t="s">
        <v>75</v>
      </c>
      <c r="C71" s="13">
        <v>0</v>
      </c>
      <c r="D71" s="13">
        <v>0</v>
      </c>
      <c r="E71" s="13">
        <f>+E95</f>
        <v>0</v>
      </c>
      <c r="F71" s="13"/>
      <c r="H71" s="13">
        <f>+C71</f>
        <v>0</v>
      </c>
      <c r="I71" s="43"/>
    </row>
    <row r="72" spans="1:18" ht="15" x14ac:dyDescent="0.25">
      <c r="A72" s="1">
        <v>6</v>
      </c>
      <c r="B72" s="2" t="s">
        <v>76</v>
      </c>
      <c r="C72" s="44">
        <v>0</v>
      </c>
      <c r="D72" s="13"/>
      <c r="E72" s="13"/>
      <c r="F72" s="13"/>
      <c r="H72" s="13">
        <f>SUM(D72:F72)</f>
        <v>0</v>
      </c>
      <c r="I72" s="43"/>
    </row>
    <row r="73" spans="1:18" x14ac:dyDescent="0.2">
      <c r="A73" s="1">
        <v>7</v>
      </c>
      <c r="B73" s="24" t="s">
        <v>77</v>
      </c>
      <c r="C73" s="21">
        <f>SUM(C70:C72)</f>
        <v>77293440.879999995</v>
      </c>
      <c r="D73" s="21">
        <f>SUM(D70:D72)</f>
        <v>77296999.563576326</v>
      </c>
      <c r="E73" s="21">
        <f>SUM(E70:E72)</f>
        <v>0</v>
      </c>
      <c r="F73" s="21">
        <f>SUM(F70:F72)</f>
        <v>0</v>
      </c>
      <c r="G73" s="21"/>
      <c r="H73" s="21">
        <f>SUM(H70:H72)</f>
        <v>77296999.563576326</v>
      </c>
      <c r="I73" s="22">
        <f>IF(D73&lt;&gt;0,C73/D73,0)</f>
        <v>0.99995396090926658</v>
      </c>
    </row>
    <row r="74" spans="1:18" x14ac:dyDescent="0.2">
      <c r="B74" s="16"/>
      <c r="C74" s="47"/>
      <c r="D74" s="47"/>
      <c r="E74" s="47"/>
      <c r="F74" s="47"/>
      <c r="G74" s="47"/>
      <c r="H74" s="47"/>
      <c r="I74" s="48"/>
    </row>
    <row r="75" spans="1:18" ht="15" x14ac:dyDescent="0.25">
      <c r="A75" s="1">
        <v>8</v>
      </c>
      <c r="B75" s="16" t="s">
        <v>52</v>
      </c>
      <c r="C75" s="49">
        <v>0</v>
      </c>
      <c r="D75" s="50"/>
      <c r="E75" s="50"/>
      <c r="F75" s="50"/>
      <c r="G75" s="50"/>
      <c r="H75" s="50"/>
      <c r="I75" s="51"/>
    </row>
    <row r="76" spans="1:18" x14ac:dyDescent="0.2">
      <c r="B76" s="16"/>
      <c r="C76" s="47"/>
      <c r="D76" s="47"/>
      <c r="E76" s="47"/>
      <c r="F76" s="47"/>
      <c r="H76" s="47"/>
      <c r="I76" s="48"/>
    </row>
    <row r="77" spans="1:18" x14ac:dyDescent="0.2">
      <c r="B77" s="16" t="s">
        <v>78</v>
      </c>
      <c r="C77" s="13"/>
      <c r="D77" s="13"/>
      <c r="E77" s="13"/>
      <c r="F77" s="13"/>
      <c r="H77" s="13"/>
    </row>
    <row r="78" spans="1:18" ht="15" x14ac:dyDescent="0.25">
      <c r="A78" s="1">
        <f t="shared" ref="A78" si="23">MAX(A75:A77)+NoOne</f>
        <v>9</v>
      </c>
      <c r="B78" s="2" t="s">
        <v>79</v>
      </c>
      <c r="C78" s="52">
        <v>18788947.558794092</v>
      </c>
      <c r="D78" s="14">
        <v>37368998.855387725</v>
      </c>
      <c r="E78" s="14">
        <f t="shared" ref="E78:E85" si="24">(D78/($D$66+$D$70+$D$87))*-$E$95</f>
        <v>0</v>
      </c>
      <c r="F78" s="14">
        <f>C78-D78-E78</f>
        <v>-18580051.296593633</v>
      </c>
      <c r="G78" s="14"/>
      <c r="H78" s="14">
        <f t="shared" ref="H78:H85" si="25">SUM(D78:F78)</f>
        <v>18788947.558794092</v>
      </c>
      <c r="I78" s="53">
        <f>IF(D78&lt;&gt;0,C78/D78,0)</f>
        <v>0.5027950476143187</v>
      </c>
      <c r="K78" s="2" t="s">
        <v>80</v>
      </c>
      <c r="R78" s="1"/>
    </row>
    <row r="79" spans="1:18" ht="15" x14ac:dyDescent="0.25">
      <c r="A79" s="1">
        <f t="shared" ref="A79" si="26">MAX(A76:A78)+NoOne</f>
        <v>10</v>
      </c>
      <c r="B79" s="2" t="s">
        <v>81</v>
      </c>
      <c r="C79" s="52">
        <v>23929645.322584182</v>
      </c>
      <c r="D79" s="14">
        <v>42853885.262854412</v>
      </c>
      <c r="E79" s="14">
        <f t="shared" si="24"/>
        <v>0</v>
      </c>
      <c r="F79" s="14">
        <f t="shared" ref="F79:F85" si="27">C79-D79-E79</f>
        <v>-18924239.94027023</v>
      </c>
      <c r="G79" s="14"/>
      <c r="H79" s="14">
        <f t="shared" si="25"/>
        <v>23929645.322584182</v>
      </c>
      <c r="I79" s="53">
        <f t="shared" ref="I79:I85" si="28">IF(D79&lt;&gt;0,C79/D79,0)</f>
        <v>0.55840083520563089</v>
      </c>
      <c r="K79" s="2" t="s">
        <v>82</v>
      </c>
    </row>
    <row r="80" spans="1:18" ht="15" x14ac:dyDescent="0.25">
      <c r="A80" s="1">
        <f t="shared" ref="A80" si="29">MAX(A77:A79)+NoOne</f>
        <v>11</v>
      </c>
      <c r="B80" s="2" t="s">
        <v>83</v>
      </c>
      <c r="C80" s="52">
        <v>21703.949999999997</v>
      </c>
      <c r="D80" s="14">
        <v>120155.31636093873</v>
      </c>
      <c r="E80" s="14">
        <f t="shared" si="24"/>
        <v>0</v>
      </c>
      <c r="F80" s="14">
        <f t="shared" si="27"/>
        <v>-98451.366360938729</v>
      </c>
      <c r="G80" s="14"/>
      <c r="H80" s="14">
        <f t="shared" si="25"/>
        <v>21703.949999999997</v>
      </c>
      <c r="I80" s="53">
        <f t="shared" si="28"/>
        <v>0.18063245686776561</v>
      </c>
      <c r="K80" s="2" t="s">
        <v>84</v>
      </c>
    </row>
    <row r="81" spans="1:11" ht="15" x14ac:dyDescent="0.25">
      <c r="A81" s="1">
        <f t="shared" ref="A81" si="30">MAX(A78:A80)+NoOne</f>
        <v>12</v>
      </c>
      <c r="B81" s="2" t="s">
        <v>85</v>
      </c>
      <c r="C81" s="52">
        <v>12084583.400972759</v>
      </c>
      <c r="D81" s="14">
        <v>18737639.909186851</v>
      </c>
      <c r="E81" s="14">
        <f t="shared" si="24"/>
        <v>0</v>
      </c>
      <c r="F81" s="14">
        <f t="shared" si="27"/>
        <v>-6653056.5082140919</v>
      </c>
      <c r="G81" s="14"/>
      <c r="H81" s="14">
        <f t="shared" si="25"/>
        <v>12084583.400972759</v>
      </c>
      <c r="I81" s="53">
        <f t="shared" si="28"/>
        <v>0.64493625982468716</v>
      </c>
      <c r="K81" s="2" t="s">
        <v>86</v>
      </c>
    </row>
    <row r="82" spans="1:11" ht="14.45" hidden="1" customHeight="1" x14ac:dyDescent="0.25">
      <c r="A82" s="1">
        <f t="shared" ref="A82" si="31">MAX(A79:A81)+NoOne</f>
        <v>13</v>
      </c>
      <c r="B82" s="2" t="s">
        <v>87</v>
      </c>
      <c r="C82" s="52">
        <v>0</v>
      </c>
      <c r="D82" s="14">
        <v>0</v>
      </c>
      <c r="E82" s="14">
        <f t="shared" si="24"/>
        <v>0</v>
      </c>
      <c r="F82" s="14">
        <f t="shared" si="27"/>
        <v>0</v>
      </c>
      <c r="G82" s="14"/>
      <c r="H82" s="14">
        <f t="shared" si="25"/>
        <v>0</v>
      </c>
      <c r="I82" s="53">
        <f t="shared" si="28"/>
        <v>0</v>
      </c>
      <c r="K82" s="2" t="s">
        <v>88</v>
      </c>
    </row>
    <row r="83" spans="1:11" ht="15" x14ac:dyDescent="0.25">
      <c r="A83" s="1">
        <v>13</v>
      </c>
      <c r="B83" s="2" t="s">
        <v>89</v>
      </c>
      <c r="C83" s="52">
        <v>7645700.2165019428</v>
      </c>
      <c r="D83" s="14">
        <v>11524658.482440533</v>
      </c>
      <c r="E83" s="14">
        <f t="shared" si="24"/>
        <v>0</v>
      </c>
      <c r="F83" s="14">
        <f t="shared" si="27"/>
        <v>-3878958.2659385903</v>
      </c>
      <c r="G83" s="14"/>
      <c r="H83" s="14">
        <f t="shared" si="25"/>
        <v>7645700.2165019428</v>
      </c>
      <c r="I83" s="53">
        <f t="shared" si="28"/>
        <v>0.6634209792985416</v>
      </c>
      <c r="K83" s="2" t="s">
        <v>90</v>
      </c>
    </row>
    <row r="84" spans="1:11" ht="15" x14ac:dyDescent="0.25">
      <c r="A84" s="1">
        <f t="shared" ref="A84" si="32">MAX(A81:A83)+NoOne</f>
        <v>14</v>
      </c>
      <c r="B84" s="2" t="s">
        <v>91</v>
      </c>
      <c r="C84" s="52">
        <v>5260869.3307651561</v>
      </c>
      <c r="D84" s="14">
        <v>7201265.9747611945</v>
      </c>
      <c r="E84" s="14">
        <f t="shared" si="24"/>
        <v>0</v>
      </c>
      <c r="F84" s="14">
        <f t="shared" si="27"/>
        <v>-1940396.6439960385</v>
      </c>
      <c r="G84" s="14"/>
      <c r="H84" s="14">
        <f t="shared" si="25"/>
        <v>5260869.3307651561</v>
      </c>
      <c r="I84" s="53">
        <f t="shared" si="28"/>
        <v>0.73054784383791838</v>
      </c>
      <c r="K84" s="2" t="s">
        <v>92</v>
      </c>
    </row>
    <row r="85" spans="1:11" ht="15" x14ac:dyDescent="0.25">
      <c r="A85" s="1">
        <f t="shared" ref="A85" si="33">MAX(A82:A84)+NoOne</f>
        <v>15</v>
      </c>
      <c r="B85" s="2" t="s">
        <v>93</v>
      </c>
      <c r="C85" s="52">
        <v>1177608.1732799991</v>
      </c>
      <c r="D85" s="14">
        <v>1629785.3733305535</v>
      </c>
      <c r="E85" s="14">
        <f t="shared" si="24"/>
        <v>0</v>
      </c>
      <c r="F85" s="14">
        <f t="shared" si="27"/>
        <v>-452177.20005055447</v>
      </c>
      <c r="G85" s="14"/>
      <c r="H85" s="14">
        <f t="shared" si="25"/>
        <v>1177608.1732799991</v>
      </c>
      <c r="I85" s="53">
        <f t="shared" si="28"/>
        <v>0.72255414274181007</v>
      </c>
      <c r="K85" s="2" t="s">
        <v>94</v>
      </c>
    </row>
    <row r="86" spans="1:11" x14ac:dyDescent="0.2">
      <c r="B86" s="13"/>
      <c r="C86" s="13"/>
      <c r="D86" s="13"/>
      <c r="E86" s="13"/>
      <c r="F86" s="13"/>
      <c r="H86" s="13"/>
      <c r="I86" s="54"/>
    </row>
    <row r="87" spans="1:11" x14ac:dyDescent="0.2">
      <c r="A87" s="1">
        <v>16</v>
      </c>
      <c r="B87" s="16" t="s">
        <v>95</v>
      </c>
      <c r="C87" s="31">
        <f>SUM(C78:C85)</f>
        <v>68909057.952898145</v>
      </c>
      <c r="D87" s="31">
        <f>SUM(D78:D85)</f>
        <v>119436389.1743222</v>
      </c>
      <c r="E87" s="31">
        <f>SUM(E78:E85)</f>
        <v>0</v>
      </c>
      <c r="F87" s="31">
        <f>SUM(F78:F85)</f>
        <v>-50527331.22142408</v>
      </c>
      <c r="G87" s="31"/>
      <c r="H87" s="31">
        <f>SUM(H78:H85)</f>
        <v>68909057.952898145</v>
      </c>
      <c r="I87" s="32">
        <f>IF(D87&lt;&gt;0,C87/D87,0)</f>
        <v>0.57695195266094834</v>
      </c>
      <c r="J87" s="15"/>
    </row>
    <row r="88" spans="1:11" ht="13.5" thickBot="1" x14ac:dyDescent="0.25">
      <c r="A88" s="1">
        <v>17</v>
      </c>
      <c r="B88" s="16" t="s">
        <v>96</v>
      </c>
      <c r="C88" s="55">
        <f>SUM(C87,C73,C68,C75)</f>
        <v>1250804216.1128981</v>
      </c>
      <c r="D88" s="55">
        <f>SUM(D87,D73,D68,D75)</f>
        <v>1206131974.2441251</v>
      </c>
      <c r="E88" s="55">
        <f>SUM(E87,E73,E68,E75)</f>
        <v>0</v>
      </c>
      <c r="F88" s="55">
        <f>SUM(F87,F73,F68,F75)</f>
        <v>44673979.097526006</v>
      </c>
      <c r="G88" s="55"/>
      <c r="H88" s="55">
        <f>SUM(H87,H73,H68,H75)</f>
        <v>1250805953.3416512</v>
      </c>
      <c r="I88" s="35">
        <f>IF(D88&lt;&gt;0,C88/D88,0)</f>
        <v>1.0370376068479312</v>
      </c>
    </row>
    <row r="89" spans="1:11" ht="13.5" thickTop="1" x14ac:dyDescent="0.2">
      <c r="H89" s="13"/>
    </row>
    <row r="90" spans="1:11" ht="15" x14ac:dyDescent="0.25">
      <c r="C90" s="56"/>
      <c r="D90" s="14"/>
      <c r="H90" s="13"/>
    </row>
    <row r="91" spans="1:11" x14ac:dyDescent="0.2">
      <c r="H91" s="13"/>
    </row>
    <row r="92" spans="1:11" x14ac:dyDescent="0.2">
      <c r="B92" s="23"/>
    </row>
    <row r="93" spans="1:11" x14ac:dyDescent="0.2">
      <c r="B93" s="41"/>
      <c r="E93" s="13"/>
    </row>
    <row r="94" spans="1:11" hidden="1" x14ac:dyDescent="0.2">
      <c r="B94" s="41"/>
    </row>
    <row r="95" spans="1:11" hidden="1" x14ac:dyDescent="0.2">
      <c r="B95" s="57"/>
    </row>
    <row r="96" spans="1:11" hidden="1" x14ac:dyDescent="0.2"/>
    <row r="97" spans="1:18" x14ac:dyDescent="0.2">
      <c r="I97" s="4" t="s">
        <v>0</v>
      </c>
    </row>
    <row r="98" spans="1:18" x14ac:dyDescent="0.2">
      <c r="I98" s="4" t="s">
        <v>97</v>
      </c>
    </row>
    <row r="99" spans="1:18" x14ac:dyDescent="0.2">
      <c r="I99" s="5"/>
    </row>
    <row r="101" spans="1:18" x14ac:dyDescent="0.2">
      <c r="A101" s="6" t="str">
        <f>+A6</f>
        <v>NEWFOUNDLAND AND LABRADOR HYDRO</v>
      </c>
      <c r="B101" s="6"/>
      <c r="C101" s="6"/>
      <c r="D101" s="6"/>
      <c r="E101" s="6"/>
      <c r="F101" s="6"/>
      <c r="G101" s="6"/>
      <c r="H101" s="6"/>
      <c r="I101" s="6"/>
    </row>
    <row r="102" spans="1:18" x14ac:dyDescent="0.2">
      <c r="A102" s="6" t="str">
        <f>RunName</f>
        <v>2027 Test Year Cost of Service Study (No Rate Mitigation and Holyrood at 18.43%)</v>
      </c>
      <c r="B102" s="6"/>
      <c r="C102" s="6"/>
      <c r="D102" s="6"/>
      <c r="E102" s="6"/>
      <c r="F102" s="6"/>
      <c r="G102" s="6"/>
      <c r="H102" s="6"/>
      <c r="I102" s="6"/>
    </row>
    <row r="103" spans="1:18" x14ac:dyDescent="0.2">
      <c r="A103" s="6" t="s">
        <v>64</v>
      </c>
      <c r="B103" s="6"/>
      <c r="C103" s="6"/>
      <c r="D103" s="6"/>
      <c r="E103" s="6"/>
      <c r="F103" s="6"/>
      <c r="G103" s="6"/>
      <c r="H103" s="6"/>
      <c r="I103" s="6"/>
    </row>
    <row r="104" spans="1:18" x14ac:dyDescent="0.2">
      <c r="A104" s="6" t="s">
        <v>9</v>
      </c>
      <c r="B104" s="6"/>
      <c r="C104" s="6"/>
      <c r="D104" s="6"/>
      <c r="E104" s="6"/>
      <c r="F104" s="6"/>
      <c r="G104" s="6"/>
      <c r="H104" s="6"/>
      <c r="I104" s="6"/>
      <c r="R104" s="1"/>
    </row>
    <row r="105" spans="1:18" s="1" customFormat="1" x14ac:dyDescent="0.2"/>
    <row r="106" spans="1:18" s="1" customFormat="1" x14ac:dyDescent="0.2">
      <c r="B106" s="1">
        <f t="shared" ref="B106:I106" si="34">MAX(A106)+NoOne</f>
        <v>1</v>
      </c>
      <c r="C106" s="1">
        <f t="shared" si="34"/>
        <v>2</v>
      </c>
      <c r="D106" s="1">
        <f t="shared" si="34"/>
        <v>3</v>
      </c>
      <c r="E106" s="1">
        <f t="shared" si="34"/>
        <v>4</v>
      </c>
      <c r="F106" s="1">
        <f t="shared" si="34"/>
        <v>5</v>
      </c>
      <c r="G106" s="1">
        <f t="shared" si="34"/>
        <v>6</v>
      </c>
      <c r="H106" s="1">
        <v>6</v>
      </c>
      <c r="I106" s="1">
        <f t="shared" si="34"/>
        <v>7</v>
      </c>
    </row>
    <row r="107" spans="1:18" s="1" customFormat="1" x14ac:dyDescent="0.2"/>
    <row r="108" spans="1:18" x14ac:dyDescent="0.2">
      <c r="B108" s="1"/>
      <c r="C108" s="1"/>
      <c r="D108" s="8" t="s">
        <v>12</v>
      </c>
      <c r="E108" s="1"/>
      <c r="F108" s="1"/>
      <c r="H108" s="8" t="s">
        <v>13</v>
      </c>
      <c r="I108" s="1" t="s">
        <v>14</v>
      </c>
    </row>
    <row r="109" spans="1:18" x14ac:dyDescent="0.2">
      <c r="A109" s="1" t="s">
        <v>17</v>
      </c>
      <c r="B109" s="1"/>
      <c r="C109" s="1"/>
      <c r="D109" s="1" t="s">
        <v>18</v>
      </c>
      <c r="E109" s="1" t="s">
        <v>14</v>
      </c>
      <c r="F109" s="1"/>
      <c r="G109" s="8" t="s">
        <v>19</v>
      </c>
      <c r="H109" s="8" t="s">
        <v>20</v>
      </c>
      <c r="I109" s="1" t="s">
        <v>21</v>
      </c>
    </row>
    <row r="110" spans="1:18" x14ac:dyDescent="0.2">
      <c r="A110" s="1" t="s">
        <v>25</v>
      </c>
      <c r="B110" s="1" t="s">
        <v>26</v>
      </c>
      <c r="C110" s="1" t="s">
        <v>27</v>
      </c>
      <c r="D110" s="1" t="s">
        <v>28</v>
      </c>
      <c r="E110" s="1" t="s">
        <v>71</v>
      </c>
      <c r="F110" s="1" t="s">
        <v>30</v>
      </c>
      <c r="G110" s="1" t="s">
        <v>31</v>
      </c>
      <c r="H110" s="1" t="s">
        <v>28</v>
      </c>
      <c r="I110" s="1" t="s">
        <v>32</v>
      </c>
    </row>
    <row r="111" spans="1:18" x14ac:dyDescent="0.2">
      <c r="B111" s="1"/>
      <c r="C111" s="1"/>
      <c r="D111" s="1"/>
      <c r="E111" s="1"/>
      <c r="F111" s="1"/>
      <c r="H111" s="11" t="s">
        <v>38</v>
      </c>
      <c r="I111" s="1" t="s">
        <v>39</v>
      </c>
    </row>
    <row r="112" spans="1:18" x14ac:dyDescent="0.2">
      <c r="B112" s="1"/>
      <c r="C112" s="1" t="s">
        <v>40</v>
      </c>
      <c r="D112" s="1" t="s">
        <v>40</v>
      </c>
      <c r="E112" s="1" t="s">
        <v>40</v>
      </c>
      <c r="F112" s="1" t="s">
        <v>40</v>
      </c>
      <c r="G112" s="1" t="s">
        <v>40</v>
      </c>
      <c r="H112" s="1" t="s">
        <v>40</v>
      </c>
      <c r="I112" s="1"/>
    </row>
    <row r="115" spans="1:12" x14ac:dyDescent="0.2">
      <c r="B115" s="16" t="s">
        <v>64</v>
      </c>
    </row>
    <row r="116" spans="1:12" ht="15" x14ac:dyDescent="0.25">
      <c r="A116" s="1">
        <f t="shared" ref="A116" si="35">MAX(A113:A115)+NoOne</f>
        <v>1</v>
      </c>
      <c r="B116" s="2" t="s">
        <v>98</v>
      </c>
      <c r="C116" s="52">
        <v>809510.05334059661</v>
      </c>
      <c r="D116" s="14">
        <v>7704844.263737564</v>
      </c>
      <c r="E116" s="14"/>
      <c r="F116" s="14">
        <f>C116-D116</f>
        <v>-6895334.2103969678</v>
      </c>
      <c r="G116" s="14"/>
      <c r="H116" s="14">
        <f t="shared" ref="H116:H126" si="36">SUM(D116,F116)</f>
        <v>809510.05334059615</v>
      </c>
      <c r="I116" s="53">
        <f>IF(D116&lt;&gt;0,C116/D116,0)</f>
        <v>0.10506507667526938</v>
      </c>
      <c r="K116" s="58" t="s">
        <v>99</v>
      </c>
      <c r="L116" s="58"/>
    </row>
    <row r="117" spans="1:12" ht="15" x14ac:dyDescent="0.25">
      <c r="A117" s="1">
        <f t="shared" ref="A117" si="37">MAX(A114:A116)+NoOne</f>
        <v>2</v>
      </c>
      <c r="B117" s="2" t="s">
        <v>100</v>
      </c>
      <c r="C117" s="52">
        <v>0</v>
      </c>
      <c r="D117" s="14">
        <v>55464.455893001636</v>
      </c>
      <c r="E117" s="14"/>
      <c r="F117" s="14">
        <f t="shared" ref="F117:F126" si="38">C117-D117</f>
        <v>-55464.455893001636</v>
      </c>
      <c r="G117" s="14"/>
      <c r="H117" s="14">
        <f t="shared" si="36"/>
        <v>0</v>
      </c>
      <c r="I117" s="53">
        <f t="shared" ref="I117:I126" si="39">IF(D117&lt;&gt;0,C117/D117,0)</f>
        <v>0</v>
      </c>
      <c r="K117" s="58" t="s">
        <v>101</v>
      </c>
      <c r="L117" s="58"/>
    </row>
    <row r="118" spans="1:12" ht="15" x14ac:dyDescent="0.25">
      <c r="A118" s="1">
        <f t="shared" ref="A118" si="40">MAX(A115:A117)+NoOne</f>
        <v>3</v>
      </c>
      <c r="B118" s="23" t="s">
        <v>102</v>
      </c>
      <c r="C118" s="52">
        <v>54842.660460796527</v>
      </c>
      <c r="D118" s="14">
        <v>367318.76345747465</v>
      </c>
      <c r="E118" s="14"/>
      <c r="F118" s="14">
        <f t="shared" si="38"/>
        <v>-312476.10299667809</v>
      </c>
      <c r="G118" s="14"/>
      <c r="H118" s="14">
        <f t="shared" si="36"/>
        <v>54842.660460796556</v>
      </c>
      <c r="I118" s="53">
        <f t="shared" si="39"/>
        <v>0.14930536067522668</v>
      </c>
      <c r="K118" s="58" t="s">
        <v>103</v>
      </c>
      <c r="L118" s="58"/>
    </row>
    <row r="119" spans="1:12" ht="15" x14ac:dyDescent="0.25">
      <c r="A119" s="1">
        <f t="shared" ref="A119" si="41">MAX(A116:A118)+NoOne</f>
        <v>4</v>
      </c>
      <c r="B119" s="2" t="s">
        <v>104</v>
      </c>
      <c r="C119" s="52">
        <v>285054.36288423219</v>
      </c>
      <c r="D119" s="52">
        <v>823424.74077321135</v>
      </c>
      <c r="E119" s="14"/>
      <c r="F119" s="14">
        <f t="shared" si="38"/>
        <v>-538370.37788897916</v>
      </c>
      <c r="G119" s="14"/>
      <c r="H119" s="14">
        <f t="shared" si="36"/>
        <v>285054.36288423219</v>
      </c>
      <c r="I119" s="53">
        <f t="shared" si="39"/>
        <v>0.3461814404757389</v>
      </c>
      <c r="K119" s="58" t="s">
        <v>105</v>
      </c>
      <c r="L119" s="58"/>
    </row>
    <row r="120" spans="1:12" ht="15" x14ac:dyDescent="0.25">
      <c r="A120" s="1">
        <f t="shared" ref="A120" si="42">MAX(A117:A119)+NoOne</f>
        <v>5</v>
      </c>
      <c r="B120" s="2" t="s">
        <v>106</v>
      </c>
      <c r="C120" s="52">
        <v>535299.34273159155</v>
      </c>
      <c r="D120" s="52">
        <v>1290296.0560981249</v>
      </c>
      <c r="E120" s="14"/>
      <c r="F120" s="14">
        <f t="shared" si="38"/>
        <v>-754996.7133665334</v>
      </c>
      <c r="G120" s="14"/>
      <c r="H120" s="14">
        <f t="shared" si="36"/>
        <v>535299.34273159155</v>
      </c>
      <c r="I120" s="53">
        <f t="shared" si="39"/>
        <v>0.4148655188099582</v>
      </c>
      <c r="K120" s="58" t="s">
        <v>107</v>
      </c>
      <c r="L120" s="58"/>
    </row>
    <row r="121" spans="1:12" ht="15" x14ac:dyDescent="0.25">
      <c r="A121" s="1">
        <f t="shared" ref="A121" si="43">MAX(A118:A120)+NoOne</f>
        <v>6</v>
      </c>
      <c r="B121" s="2" t="s">
        <v>108</v>
      </c>
      <c r="C121" s="52">
        <v>0</v>
      </c>
      <c r="D121" s="14">
        <v>0</v>
      </c>
      <c r="E121" s="14"/>
      <c r="F121" s="14">
        <f t="shared" si="38"/>
        <v>0</v>
      </c>
      <c r="G121" s="14"/>
      <c r="H121" s="14">
        <f t="shared" si="36"/>
        <v>0</v>
      </c>
      <c r="I121" s="53">
        <f t="shared" si="39"/>
        <v>0</v>
      </c>
      <c r="K121" s="58" t="s">
        <v>109</v>
      </c>
      <c r="L121" s="58"/>
    </row>
    <row r="122" spans="1:12" ht="15" x14ac:dyDescent="0.25">
      <c r="A122" s="1">
        <f t="shared" ref="A122" si="44">MAX(A119:A121)+NoOne</f>
        <v>7</v>
      </c>
      <c r="B122" s="2" t="s">
        <v>91</v>
      </c>
      <c r="C122" s="52">
        <v>0</v>
      </c>
      <c r="D122" s="14">
        <v>0</v>
      </c>
      <c r="E122" s="14"/>
      <c r="F122" s="14">
        <f t="shared" si="38"/>
        <v>0</v>
      </c>
      <c r="G122" s="14"/>
      <c r="H122" s="14">
        <f t="shared" si="36"/>
        <v>0</v>
      </c>
      <c r="I122" s="53">
        <f t="shared" si="39"/>
        <v>0</v>
      </c>
      <c r="K122" s="58" t="s">
        <v>110</v>
      </c>
      <c r="L122" s="58"/>
    </row>
    <row r="123" spans="1:12" ht="15" hidden="1" x14ac:dyDescent="0.25">
      <c r="A123" s="1">
        <f t="shared" ref="A123" si="45">MAX(A120:A122)+NoOne</f>
        <v>8</v>
      </c>
      <c r="B123" s="2" t="s">
        <v>111</v>
      </c>
      <c r="C123" s="52">
        <v>0</v>
      </c>
      <c r="D123" s="14">
        <v>0</v>
      </c>
      <c r="E123" s="14"/>
      <c r="F123" s="14">
        <f t="shared" si="38"/>
        <v>0</v>
      </c>
      <c r="G123" s="14"/>
      <c r="H123" s="14">
        <f t="shared" si="36"/>
        <v>0</v>
      </c>
      <c r="I123" s="53">
        <f t="shared" si="39"/>
        <v>0</v>
      </c>
      <c r="K123" s="58" t="s">
        <v>112</v>
      </c>
      <c r="L123" s="58"/>
    </row>
    <row r="124" spans="1:12" ht="15" hidden="1" x14ac:dyDescent="0.25">
      <c r="A124" s="1">
        <f t="shared" ref="A124" si="46">MAX(A121:A123)+NoOne</f>
        <v>9</v>
      </c>
      <c r="B124" s="2" t="s">
        <v>113</v>
      </c>
      <c r="C124" s="52">
        <v>0</v>
      </c>
      <c r="D124" s="14">
        <v>0</v>
      </c>
      <c r="E124" s="14"/>
      <c r="F124" s="14">
        <f t="shared" si="38"/>
        <v>0</v>
      </c>
      <c r="G124" s="14"/>
      <c r="H124" s="14">
        <f t="shared" si="36"/>
        <v>0</v>
      </c>
      <c r="I124" s="53">
        <f t="shared" si="39"/>
        <v>0</v>
      </c>
      <c r="K124" s="58" t="s">
        <v>114</v>
      </c>
      <c r="L124" s="58"/>
    </row>
    <row r="125" spans="1:12" ht="15" x14ac:dyDescent="0.25">
      <c r="A125" s="1">
        <v>8</v>
      </c>
      <c r="B125" s="2" t="s">
        <v>93</v>
      </c>
      <c r="C125" s="52">
        <v>26858.520479999981</v>
      </c>
      <c r="D125" s="52">
        <v>163053.22773518122</v>
      </c>
      <c r="E125" s="14"/>
      <c r="F125" s="14">
        <f t="shared" si="38"/>
        <v>-136194.70725518125</v>
      </c>
      <c r="G125" s="14"/>
      <c r="H125" s="14">
        <f t="shared" si="36"/>
        <v>26858.520479999977</v>
      </c>
      <c r="I125" s="53">
        <f t="shared" si="39"/>
        <v>0.16472240907503879</v>
      </c>
      <c r="K125" s="58" t="s">
        <v>115</v>
      </c>
      <c r="L125" s="58"/>
    </row>
    <row r="126" spans="1:12" ht="15" x14ac:dyDescent="0.25">
      <c r="A126" s="1">
        <v>9</v>
      </c>
      <c r="B126" s="23" t="s">
        <v>116</v>
      </c>
      <c r="C126" s="52">
        <v>6384</v>
      </c>
      <c r="D126" s="14">
        <v>0</v>
      </c>
      <c r="E126" s="14"/>
      <c r="F126" s="14">
        <f t="shared" si="38"/>
        <v>6384</v>
      </c>
      <c r="G126" s="14"/>
      <c r="H126" s="14">
        <f t="shared" si="36"/>
        <v>6384</v>
      </c>
      <c r="I126" s="53">
        <f t="shared" si="39"/>
        <v>0</v>
      </c>
      <c r="K126" s="58" t="s">
        <v>117</v>
      </c>
      <c r="L126" s="58"/>
    </row>
    <row r="127" spans="1:12" x14ac:dyDescent="0.2">
      <c r="C127" s="36"/>
      <c r="D127" s="36"/>
      <c r="E127" s="36"/>
      <c r="F127" s="43"/>
      <c r="H127" s="36"/>
      <c r="I127" s="54"/>
    </row>
    <row r="128" spans="1:12" ht="17.25" thickBot="1" x14ac:dyDescent="0.35">
      <c r="A128" s="1">
        <v>10</v>
      </c>
      <c r="B128" s="59" t="s">
        <v>118</v>
      </c>
      <c r="C128" s="60">
        <f>SUM(C116:C126)</f>
        <v>1717948.9398972169</v>
      </c>
      <c r="D128" s="60">
        <f>SUM(D116:D126)</f>
        <v>10404401.507694557</v>
      </c>
      <c r="E128" s="60"/>
      <c r="F128" s="60">
        <f>SUM(F116:F126)</f>
        <v>-8686452.5677973405</v>
      </c>
      <c r="G128" s="60"/>
      <c r="H128" s="60">
        <f>SUM(H116:H126)</f>
        <v>1717948.9398972164</v>
      </c>
      <c r="I128" s="61">
        <f>IF(D128&lt;&gt;0,C128/D128,0)</f>
        <v>0.16511751671893002</v>
      </c>
    </row>
    <row r="129" spans="1:18" ht="13.5" thickTop="1" x14ac:dyDescent="0.2">
      <c r="I129" s="54"/>
    </row>
    <row r="132" spans="1:18" x14ac:dyDescent="0.2">
      <c r="R132" s="1"/>
    </row>
    <row r="135" spans="1:18" x14ac:dyDescent="0.2">
      <c r="I135" s="4" t="s">
        <v>0</v>
      </c>
    </row>
    <row r="136" spans="1:18" x14ac:dyDescent="0.2">
      <c r="I136" s="4" t="s">
        <v>119</v>
      </c>
    </row>
    <row r="137" spans="1:18" x14ac:dyDescent="0.2">
      <c r="I137" s="5"/>
    </row>
    <row r="139" spans="1:18" x14ac:dyDescent="0.2">
      <c r="A139" s="6" t="str">
        <f>+A6</f>
        <v>NEWFOUNDLAND AND LABRADOR HYDRO</v>
      </c>
      <c r="B139" s="6"/>
      <c r="C139" s="6"/>
      <c r="D139" s="6"/>
      <c r="E139" s="6"/>
      <c r="F139" s="6"/>
      <c r="G139" s="6"/>
      <c r="H139" s="6"/>
      <c r="I139" s="6"/>
    </row>
    <row r="140" spans="1:18" x14ac:dyDescent="0.2">
      <c r="A140" s="6" t="str">
        <f>RunName</f>
        <v>2027 Test Year Cost of Service Study (No Rate Mitigation and Holyrood at 18.43%)</v>
      </c>
      <c r="B140" s="6"/>
      <c r="C140" s="6"/>
      <c r="D140" s="6"/>
      <c r="E140" s="6"/>
      <c r="F140" s="6"/>
      <c r="G140" s="6"/>
      <c r="H140" s="6"/>
      <c r="I140" s="6"/>
    </row>
    <row r="141" spans="1:18" x14ac:dyDescent="0.2">
      <c r="A141" s="6" t="s">
        <v>65</v>
      </c>
      <c r="B141" s="6"/>
      <c r="C141" s="6"/>
      <c r="D141" s="6"/>
      <c r="E141" s="6"/>
      <c r="F141" s="6"/>
      <c r="G141" s="6"/>
      <c r="H141" s="6"/>
      <c r="I141" s="6"/>
    </row>
    <row r="142" spans="1:18" x14ac:dyDescent="0.2">
      <c r="A142" s="6" t="s">
        <v>9</v>
      </c>
      <c r="B142" s="6"/>
      <c r="C142" s="6"/>
      <c r="D142" s="6"/>
      <c r="E142" s="6"/>
      <c r="F142" s="6"/>
      <c r="G142" s="6"/>
      <c r="H142" s="6"/>
      <c r="I142" s="6"/>
    </row>
    <row r="143" spans="1:18" s="1" customFormat="1" x14ac:dyDescent="0.2"/>
    <row r="144" spans="1:18" s="1" customFormat="1" x14ac:dyDescent="0.2">
      <c r="B144" s="1">
        <f t="shared" ref="B144:I144" si="47">MAX(A144)+NoOne</f>
        <v>1</v>
      </c>
      <c r="C144" s="1">
        <f t="shared" si="47"/>
        <v>2</v>
      </c>
      <c r="D144" s="1">
        <f t="shared" si="47"/>
        <v>3</v>
      </c>
      <c r="E144" s="1">
        <f t="shared" si="47"/>
        <v>4</v>
      </c>
      <c r="F144" s="1">
        <f t="shared" si="47"/>
        <v>5</v>
      </c>
      <c r="G144" s="1">
        <f t="shared" si="47"/>
        <v>6</v>
      </c>
      <c r="H144" s="1">
        <v>6</v>
      </c>
      <c r="I144" s="1">
        <f t="shared" si="47"/>
        <v>7</v>
      </c>
    </row>
    <row r="145" spans="1:18" s="1" customFormat="1" x14ac:dyDescent="0.2"/>
    <row r="146" spans="1:18" x14ac:dyDescent="0.2">
      <c r="B146" s="1"/>
      <c r="C146" s="1"/>
      <c r="D146" s="8" t="s">
        <v>12</v>
      </c>
      <c r="E146" s="1"/>
      <c r="F146" s="1"/>
      <c r="H146" s="8" t="s">
        <v>13</v>
      </c>
      <c r="I146" s="1" t="s">
        <v>14</v>
      </c>
    </row>
    <row r="147" spans="1:18" x14ac:dyDescent="0.2">
      <c r="A147" s="1" t="s">
        <v>17</v>
      </c>
      <c r="B147" s="1"/>
      <c r="C147" s="1"/>
      <c r="D147" s="1" t="s">
        <v>18</v>
      </c>
      <c r="E147" s="1" t="s">
        <v>14</v>
      </c>
      <c r="F147" s="1"/>
      <c r="G147" s="8" t="s">
        <v>19</v>
      </c>
      <c r="H147" s="8" t="s">
        <v>20</v>
      </c>
      <c r="I147" s="1" t="s">
        <v>21</v>
      </c>
    </row>
    <row r="148" spans="1:18" x14ac:dyDescent="0.2">
      <c r="A148" s="1" t="s">
        <v>25</v>
      </c>
      <c r="B148" s="1" t="s">
        <v>26</v>
      </c>
      <c r="C148" s="1" t="s">
        <v>27</v>
      </c>
      <c r="D148" s="1" t="s">
        <v>28</v>
      </c>
      <c r="E148" s="1" t="s">
        <v>71</v>
      </c>
      <c r="F148" s="1" t="s">
        <v>30</v>
      </c>
      <c r="G148" s="1" t="s">
        <v>31</v>
      </c>
      <c r="H148" s="1" t="s">
        <v>28</v>
      </c>
      <c r="I148" s="1" t="s">
        <v>32</v>
      </c>
    </row>
    <row r="149" spans="1:18" x14ac:dyDescent="0.2">
      <c r="B149" s="1"/>
      <c r="C149" s="1"/>
      <c r="D149" s="1"/>
      <c r="E149" s="1"/>
      <c r="F149" s="1"/>
      <c r="H149" s="11" t="s">
        <v>38</v>
      </c>
      <c r="I149" s="1" t="s">
        <v>39</v>
      </c>
    </row>
    <row r="150" spans="1:18" x14ac:dyDescent="0.2">
      <c r="B150" s="1"/>
      <c r="C150" s="1" t="s">
        <v>40</v>
      </c>
      <c r="D150" s="1" t="s">
        <v>40</v>
      </c>
      <c r="E150" s="1" t="s">
        <v>40</v>
      </c>
      <c r="F150" s="1" t="s">
        <v>40</v>
      </c>
      <c r="G150" s="1" t="s">
        <v>40</v>
      </c>
      <c r="H150" s="1" t="s">
        <v>40</v>
      </c>
      <c r="I150" s="1"/>
    </row>
    <row r="153" spans="1:18" x14ac:dyDescent="0.2">
      <c r="B153" s="16" t="s">
        <v>65</v>
      </c>
    </row>
    <row r="154" spans="1:18" ht="15" x14ac:dyDescent="0.25">
      <c r="A154" s="1">
        <f t="shared" ref="A154" si="48">MAX(A151:A153)+NoOne</f>
        <v>1</v>
      </c>
      <c r="B154" s="2" t="s">
        <v>98</v>
      </c>
      <c r="C154" s="52">
        <v>4669502.3740669573</v>
      </c>
      <c r="D154" s="14">
        <v>25171515.047610119</v>
      </c>
      <c r="E154" s="14"/>
      <c r="F154" s="14">
        <f>C154-D154</f>
        <v>-20502012.673543163</v>
      </c>
      <c r="G154" s="14"/>
      <c r="H154" s="14">
        <f t="shared" ref="H154:H164" si="49">SUM(D154,F154)</f>
        <v>4669502.3740669563</v>
      </c>
      <c r="I154" s="53">
        <f>IF(D154&lt;&gt;0,C154/D154,0)</f>
        <v>0.18550740252364339</v>
      </c>
      <c r="K154" s="2" t="s">
        <v>120</v>
      </c>
    </row>
    <row r="155" spans="1:18" ht="15" x14ac:dyDescent="0.25">
      <c r="A155" s="1">
        <f t="shared" ref="A155" si="50">MAX(A152:A154)+NoOne</f>
        <v>2</v>
      </c>
      <c r="B155" s="2" t="s">
        <v>100</v>
      </c>
      <c r="C155" s="52">
        <v>945103.9988196888</v>
      </c>
      <c r="D155" s="14">
        <v>894392.75602439465</v>
      </c>
      <c r="E155" s="14"/>
      <c r="F155" s="14">
        <f t="shared" ref="F155:F163" si="51">C155-D155</f>
        <v>50711.242795294151</v>
      </c>
      <c r="G155" s="14"/>
      <c r="H155" s="14">
        <f t="shared" si="49"/>
        <v>945103.9988196888</v>
      </c>
      <c r="I155" s="53">
        <f t="shared" ref="I155:I164" si="52">IF(D155&lt;&gt;0,C155/D155,0)</f>
        <v>1.0566990759414323</v>
      </c>
      <c r="K155" s="2" t="s">
        <v>121</v>
      </c>
    </row>
    <row r="156" spans="1:18" ht="15" x14ac:dyDescent="0.25">
      <c r="A156" s="1">
        <f t="shared" ref="A156" si="53">MAX(A153:A155)+NoOne</f>
        <v>3</v>
      </c>
      <c r="B156" s="23" t="s">
        <v>102</v>
      </c>
      <c r="C156" s="52">
        <v>328741.89270779031</v>
      </c>
      <c r="D156" s="14">
        <v>1337649.2549823974</v>
      </c>
      <c r="E156" s="14"/>
      <c r="F156" s="14">
        <f t="shared" si="51"/>
        <v>-1008907.3622746072</v>
      </c>
      <c r="G156" s="14"/>
      <c r="H156" s="14">
        <f t="shared" si="49"/>
        <v>328741.89270779025</v>
      </c>
      <c r="I156" s="53">
        <f t="shared" si="52"/>
        <v>0.24576090592007718</v>
      </c>
      <c r="K156" s="2" t="s">
        <v>122</v>
      </c>
    </row>
    <row r="157" spans="1:18" ht="15" x14ac:dyDescent="0.25">
      <c r="A157" s="1">
        <f t="shared" ref="A157" si="54">MAX(A154:A156)+NoOne</f>
        <v>4</v>
      </c>
      <c r="B157" s="2" t="s">
        <v>104</v>
      </c>
      <c r="C157" s="52">
        <v>1505529.9763934463</v>
      </c>
      <c r="D157" s="14">
        <v>3692362.2730602482</v>
      </c>
      <c r="E157" s="14"/>
      <c r="F157" s="14">
        <f t="shared" si="51"/>
        <v>-2186832.2966668019</v>
      </c>
      <c r="G157" s="14"/>
      <c r="H157" s="14">
        <f t="shared" si="49"/>
        <v>1505529.9763934463</v>
      </c>
      <c r="I157" s="53">
        <f t="shared" si="52"/>
        <v>0.40774167458537475</v>
      </c>
      <c r="K157" s="2" t="s">
        <v>123</v>
      </c>
    </row>
    <row r="158" spans="1:18" ht="15" x14ac:dyDescent="0.25">
      <c r="A158" s="1">
        <f t="shared" ref="A158" si="55">MAX(A155:A157)+NoOne</f>
        <v>5</v>
      </c>
      <c r="B158" s="2" t="s">
        <v>106</v>
      </c>
      <c r="C158" s="52">
        <v>3760678.8175117802</v>
      </c>
      <c r="D158" s="14">
        <v>9555598.3239415344</v>
      </c>
      <c r="E158" s="14"/>
      <c r="F158" s="14">
        <f t="shared" si="51"/>
        <v>-5794919.5064297542</v>
      </c>
      <c r="G158" s="14"/>
      <c r="H158" s="14">
        <f t="shared" si="49"/>
        <v>3760678.8175117802</v>
      </c>
      <c r="I158" s="53">
        <f t="shared" si="52"/>
        <v>0.39355764966484685</v>
      </c>
      <c r="K158" s="2" t="s">
        <v>124</v>
      </c>
    </row>
    <row r="159" spans="1:18" ht="15" x14ac:dyDescent="0.25">
      <c r="A159" s="1">
        <f t="shared" ref="A159" si="56">MAX(A156:A158)+NoOne</f>
        <v>6</v>
      </c>
      <c r="B159" s="2" t="s">
        <v>108</v>
      </c>
      <c r="C159" s="52">
        <v>364087.48779334419</v>
      </c>
      <c r="D159" s="14">
        <v>1830406.5511158232</v>
      </c>
      <c r="E159" s="14"/>
      <c r="F159" s="14">
        <f t="shared" si="51"/>
        <v>-1466319.0633224789</v>
      </c>
      <c r="G159" s="14"/>
      <c r="H159" s="14">
        <f t="shared" si="49"/>
        <v>364087.48779334431</v>
      </c>
      <c r="I159" s="53">
        <f t="shared" si="52"/>
        <v>0.19891072153964648</v>
      </c>
      <c r="K159" s="2" t="s">
        <v>125</v>
      </c>
    </row>
    <row r="160" spans="1:18" ht="15" x14ac:dyDescent="0.25">
      <c r="A160" s="1">
        <f t="shared" ref="A160" si="57">MAX(A157:A159)+NoOne</f>
        <v>7</v>
      </c>
      <c r="B160" s="2" t="s">
        <v>91</v>
      </c>
      <c r="C160" s="52">
        <v>245159.76993788074</v>
      </c>
      <c r="D160" s="14">
        <v>1373674.8775542325</v>
      </c>
      <c r="E160" s="14"/>
      <c r="F160" s="14">
        <f t="shared" si="51"/>
        <v>-1128515.1076163517</v>
      </c>
      <c r="G160" s="14"/>
      <c r="H160" s="14">
        <f t="shared" si="49"/>
        <v>245159.7699378808</v>
      </c>
      <c r="I160" s="53">
        <f t="shared" si="52"/>
        <v>0.17847001058531178</v>
      </c>
      <c r="K160" s="2" t="s">
        <v>126</v>
      </c>
      <c r="R160" s="1"/>
    </row>
    <row r="161" spans="1:11" ht="15" hidden="1" x14ac:dyDescent="0.25">
      <c r="A161" s="1">
        <f t="shared" ref="A161" si="58">MAX(A158:A160)+NoOne</f>
        <v>8</v>
      </c>
      <c r="B161" s="2" t="s">
        <v>111</v>
      </c>
      <c r="C161" s="52">
        <v>0</v>
      </c>
      <c r="D161" s="14">
        <v>0</v>
      </c>
      <c r="E161" s="14"/>
      <c r="F161" s="14">
        <f t="shared" si="51"/>
        <v>0</v>
      </c>
      <c r="G161" s="14"/>
      <c r="H161" s="14">
        <f t="shared" si="49"/>
        <v>0</v>
      </c>
      <c r="I161" s="53">
        <f t="shared" si="52"/>
        <v>0</v>
      </c>
      <c r="K161" s="2" t="s">
        <v>127</v>
      </c>
    </row>
    <row r="162" spans="1:11" ht="15" hidden="1" x14ac:dyDescent="0.25">
      <c r="A162" s="1">
        <f t="shared" ref="A162" si="59">MAX(A159:A161)+NoOne</f>
        <v>9</v>
      </c>
      <c r="B162" s="2" t="s">
        <v>113</v>
      </c>
      <c r="C162" s="52">
        <v>0</v>
      </c>
      <c r="D162" s="14">
        <v>0</v>
      </c>
      <c r="E162" s="14"/>
      <c r="F162" s="14">
        <f t="shared" si="51"/>
        <v>0</v>
      </c>
      <c r="G162" s="14"/>
      <c r="H162" s="14">
        <f t="shared" si="49"/>
        <v>0</v>
      </c>
      <c r="I162" s="53">
        <f t="shared" si="52"/>
        <v>0</v>
      </c>
      <c r="K162" s="2" t="s">
        <v>128</v>
      </c>
    </row>
    <row r="163" spans="1:11" ht="15" x14ac:dyDescent="0.25">
      <c r="A163" s="1">
        <v>8</v>
      </c>
      <c r="B163" s="2" t="s">
        <v>93</v>
      </c>
      <c r="C163" s="52">
        <v>144154.86624000021</v>
      </c>
      <c r="D163" s="14">
        <v>309889.10472647514</v>
      </c>
      <c r="E163" s="14"/>
      <c r="F163" s="14">
        <f t="shared" si="51"/>
        <v>-165734.23848647493</v>
      </c>
      <c r="G163" s="14"/>
      <c r="H163" s="14">
        <f t="shared" si="49"/>
        <v>144154.86624000021</v>
      </c>
      <c r="I163" s="53">
        <f t="shared" si="52"/>
        <v>0.46518210560270934</v>
      </c>
      <c r="K163" s="2" t="s">
        <v>129</v>
      </c>
    </row>
    <row r="164" spans="1:11" ht="15" x14ac:dyDescent="0.25">
      <c r="A164" s="1">
        <v>9</v>
      </c>
      <c r="B164" s="23" t="s">
        <v>116</v>
      </c>
      <c r="C164" s="52">
        <v>6384</v>
      </c>
      <c r="D164" s="14">
        <v>0</v>
      </c>
      <c r="E164" s="14"/>
      <c r="F164" s="14">
        <f>C164-D164</f>
        <v>6384</v>
      </c>
      <c r="G164" s="14"/>
      <c r="H164" s="14">
        <f t="shared" si="49"/>
        <v>6384</v>
      </c>
      <c r="I164" s="53">
        <f t="shared" si="52"/>
        <v>0</v>
      </c>
      <c r="K164" s="2" t="s">
        <v>130</v>
      </c>
    </row>
    <row r="165" spans="1:11" x14ac:dyDescent="0.2">
      <c r="C165" s="36"/>
      <c r="D165" s="36"/>
      <c r="E165" s="36"/>
      <c r="F165" s="43"/>
      <c r="H165" s="36"/>
      <c r="I165" s="54"/>
    </row>
    <row r="166" spans="1:11" ht="17.25" thickBot="1" x14ac:dyDescent="0.35">
      <c r="A166" s="1">
        <v>10</v>
      </c>
      <c r="B166" s="59" t="s">
        <v>118</v>
      </c>
      <c r="C166" s="60">
        <f>SUM(C154:C164)</f>
        <v>11969343.183470888</v>
      </c>
      <c r="D166" s="60">
        <f>SUM(D154:D164)</f>
        <v>44165488.189015225</v>
      </c>
      <c r="E166" s="60"/>
      <c r="F166" s="60">
        <f t="shared" ref="F166" si="60">C166-D166</f>
        <v>-32196145.005544335</v>
      </c>
      <c r="G166" s="60"/>
      <c r="H166" s="60">
        <f>SUM(H154:H164)</f>
        <v>11969343.183470888</v>
      </c>
      <c r="I166" s="61">
        <f>IF(D166&lt;&gt;0,C166/D166,0)</f>
        <v>0.27101122786746157</v>
      </c>
    </row>
    <row r="167" spans="1:11" ht="13.5" thickTop="1" x14ac:dyDescent="0.2"/>
    <row r="173" spans="1:11" x14ac:dyDescent="0.2">
      <c r="I173" s="4" t="s">
        <v>0</v>
      </c>
    </row>
    <row r="174" spans="1:11" x14ac:dyDescent="0.2">
      <c r="I174" s="4" t="s">
        <v>131</v>
      </c>
    </row>
    <row r="175" spans="1:11" x14ac:dyDescent="0.2">
      <c r="I175" s="5"/>
    </row>
    <row r="177" spans="1:18" x14ac:dyDescent="0.2">
      <c r="A177" s="6" t="str">
        <f>+A6</f>
        <v>NEWFOUNDLAND AND LABRADOR HYDRO</v>
      </c>
      <c r="B177" s="6"/>
      <c r="C177" s="6"/>
      <c r="D177" s="6"/>
      <c r="E177" s="6"/>
      <c r="F177" s="6"/>
      <c r="G177" s="6"/>
      <c r="H177" s="6"/>
      <c r="I177" s="6"/>
    </row>
    <row r="178" spans="1:18" x14ac:dyDescent="0.2">
      <c r="A178" s="6" t="str">
        <f>RunName</f>
        <v>2027 Test Year Cost of Service Study (No Rate Mitigation and Holyrood at 18.43%)</v>
      </c>
      <c r="B178" s="6"/>
      <c r="C178" s="6"/>
      <c r="D178" s="6"/>
      <c r="E178" s="6"/>
      <c r="F178" s="6"/>
      <c r="G178" s="6"/>
      <c r="H178" s="6"/>
      <c r="I178" s="6"/>
    </row>
    <row r="179" spans="1:18" x14ac:dyDescent="0.2">
      <c r="A179" s="6" t="s">
        <v>66</v>
      </c>
      <c r="B179" s="6"/>
      <c r="C179" s="6"/>
      <c r="D179" s="6"/>
      <c r="E179" s="6"/>
      <c r="F179" s="6"/>
      <c r="G179" s="6"/>
      <c r="H179" s="6"/>
      <c r="I179" s="6"/>
    </row>
    <row r="180" spans="1:18" x14ac:dyDescent="0.2">
      <c r="A180" s="6" t="s">
        <v>9</v>
      </c>
      <c r="B180" s="6"/>
      <c r="C180" s="6"/>
      <c r="D180" s="6"/>
      <c r="E180" s="6"/>
      <c r="F180" s="6"/>
      <c r="G180" s="6"/>
      <c r="H180" s="6"/>
      <c r="I180" s="6"/>
    </row>
    <row r="181" spans="1:18" s="1" customFormat="1" x14ac:dyDescent="0.2"/>
    <row r="182" spans="1:18" s="1" customFormat="1" x14ac:dyDescent="0.2">
      <c r="B182" s="1">
        <f t="shared" ref="B182:I182" si="61">MAX(A182)+NoOne</f>
        <v>1</v>
      </c>
      <c r="C182" s="1">
        <f t="shared" si="61"/>
        <v>2</v>
      </c>
      <c r="D182" s="1">
        <f t="shared" si="61"/>
        <v>3</v>
      </c>
      <c r="E182" s="1">
        <f t="shared" si="61"/>
        <v>4</v>
      </c>
      <c r="F182" s="1">
        <f t="shared" si="61"/>
        <v>5</v>
      </c>
      <c r="G182" s="1">
        <f t="shared" si="61"/>
        <v>6</v>
      </c>
      <c r="H182" s="1">
        <v>6</v>
      </c>
      <c r="I182" s="1">
        <f t="shared" si="61"/>
        <v>7</v>
      </c>
    </row>
    <row r="183" spans="1:18" s="1" customFormat="1" x14ac:dyDescent="0.2"/>
    <row r="184" spans="1:18" x14ac:dyDescent="0.2">
      <c r="B184" s="1"/>
      <c r="C184" s="1"/>
      <c r="D184" s="8" t="s">
        <v>12</v>
      </c>
      <c r="E184" s="1"/>
      <c r="F184" s="1"/>
      <c r="H184" s="8" t="s">
        <v>13</v>
      </c>
      <c r="I184" s="1" t="s">
        <v>14</v>
      </c>
    </row>
    <row r="185" spans="1:18" x14ac:dyDescent="0.2">
      <c r="A185" s="1" t="s">
        <v>17</v>
      </c>
      <c r="B185" s="1"/>
      <c r="C185" s="1"/>
      <c r="D185" s="1" t="s">
        <v>18</v>
      </c>
      <c r="E185" s="1" t="s">
        <v>14</v>
      </c>
      <c r="F185" s="1"/>
      <c r="G185" s="8" t="s">
        <v>19</v>
      </c>
      <c r="H185" s="8" t="s">
        <v>20</v>
      </c>
      <c r="I185" s="1" t="s">
        <v>21</v>
      </c>
    </row>
    <row r="186" spans="1:18" ht="13.5" customHeight="1" x14ac:dyDescent="0.2">
      <c r="A186" s="1" t="s">
        <v>25</v>
      </c>
      <c r="B186" s="1" t="s">
        <v>26</v>
      </c>
      <c r="C186" s="1" t="s">
        <v>27</v>
      </c>
      <c r="D186" s="1" t="s">
        <v>28</v>
      </c>
      <c r="E186" s="1" t="s">
        <v>71</v>
      </c>
      <c r="F186" s="1" t="s">
        <v>30</v>
      </c>
      <c r="G186" s="1" t="s">
        <v>31</v>
      </c>
      <c r="H186" s="1" t="s">
        <v>28</v>
      </c>
      <c r="I186" s="1" t="s">
        <v>32</v>
      </c>
    </row>
    <row r="187" spans="1:18" ht="13.5" customHeight="1" x14ac:dyDescent="0.2">
      <c r="B187" s="1"/>
      <c r="C187" s="1"/>
      <c r="D187" s="1"/>
      <c r="E187" s="1"/>
      <c r="F187" s="1"/>
      <c r="H187" s="11" t="s">
        <v>38</v>
      </c>
      <c r="I187" s="1" t="s">
        <v>39</v>
      </c>
    </row>
    <row r="188" spans="1:18" ht="13.5" customHeight="1" x14ac:dyDescent="0.2">
      <c r="C188" s="1" t="s">
        <v>40</v>
      </c>
      <c r="D188" s="1" t="s">
        <v>40</v>
      </c>
      <c r="E188" s="1" t="s">
        <v>40</v>
      </c>
      <c r="F188" s="1" t="s">
        <v>40</v>
      </c>
      <c r="G188" s="1" t="s">
        <v>40</v>
      </c>
      <c r="H188" s="1" t="s">
        <v>40</v>
      </c>
      <c r="R188" s="1"/>
    </row>
    <row r="190" spans="1:18" x14ac:dyDescent="0.2">
      <c r="B190" s="16" t="s">
        <v>66</v>
      </c>
    </row>
    <row r="191" spans="1:18" ht="15" x14ac:dyDescent="0.25">
      <c r="A191" s="1">
        <f t="shared" ref="A191" si="62">MAX(A188:A190)+NoOne</f>
        <v>1</v>
      </c>
      <c r="B191" s="2" t="s">
        <v>79</v>
      </c>
      <c r="C191" s="52">
        <v>828511.29480396374</v>
      </c>
      <c r="D191" s="14">
        <v>2224303.689135131</v>
      </c>
      <c r="E191" s="14"/>
      <c r="F191" s="14">
        <f>C191-D191</f>
        <v>-1395792.3943311672</v>
      </c>
      <c r="G191" s="14"/>
      <c r="H191" s="14">
        <f t="shared" ref="H191:H196" si="63">SUM(D191,F191)</f>
        <v>828511.29480396374</v>
      </c>
      <c r="I191" s="53">
        <f t="shared" ref="I191:I196" si="64">IF(D191&lt;&gt;0,C191/D191,0)</f>
        <v>0.37248119438497679</v>
      </c>
      <c r="K191" s="2" t="s">
        <v>132</v>
      </c>
    </row>
    <row r="192" spans="1:18" ht="15" x14ac:dyDescent="0.25">
      <c r="A192" s="1">
        <f t="shared" ref="A192" si="65">MAX(A189:A191)+NoOne</f>
        <v>2</v>
      </c>
      <c r="B192" s="2" t="s">
        <v>81</v>
      </c>
      <c r="C192" s="52">
        <v>1782546.8304509185</v>
      </c>
      <c r="D192" s="14">
        <v>4421636.5928514004</v>
      </c>
      <c r="E192" s="14"/>
      <c r="F192" s="14">
        <f t="shared" ref="F192:F198" si="66">C192-D192</f>
        <v>-2639089.7624004818</v>
      </c>
      <c r="G192" s="14"/>
      <c r="H192" s="14">
        <f t="shared" si="63"/>
        <v>1782546.8304509185</v>
      </c>
      <c r="I192" s="53">
        <f t="shared" si="64"/>
        <v>0.40314186682207631</v>
      </c>
      <c r="K192" s="2" t="s">
        <v>133</v>
      </c>
    </row>
    <row r="193" spans="1:11" ht="15" x14ac:dyDescent="0.25">
      <c r="A193" s="1">
        <f t="shared" ref="A193" si="67">MAX(A190:A192)+NoOne</f>
        <v>3</v>
      </c>
      <c r="B193" s="2" t="s">
        <v>85</v>
      </c>
      <c r="C193" s="52">
        <v>1046117.9889364933</v>
      </c>
      <c r="D193" s="14">
        <v>2332949.6198429321</v>
      </c>
      <c r="E193" s="14"/>
      <c r="F193" s="14">
        <f t="shared" si="66"/>
        <v>-1286831.6309064389</v>
      </c>
      <c r="G193" s="14"/>
      <c r="H193" s="14">
        <f t="shared" si="63"/>
        <v>1046117.9889364932</v>
      </c>
      <c r="I193" s="53">
        <f t="shared" si="64"/>
        <v>0.44841002139039937</v>
      </c>
      <c r="K193" s="2" t="s">
        <v>134</v>
      </c>
    </row>
    <row r="194" spans="1:11" ht="15" x14ac:dyDescent="0.25">
      <c r="A194" s="1">
        <f t="shared" ref="A194" si="68">MAX(A191:A193)+NoOne</f>
        <v>4</v>
      </c>
      <c r="B194" s="2" t="s">
        <v>87</v>
      </c>
      <c r="C194" s="52">
        <v>0</v>
      </c>
      <c r="D194" s="14">
        <v>0</v>
      </c>
      <c r="E194" s="14"/>
      <c r="F194" s="14">
        <f t="shared" si="66"/>
        <v>0</v>
      </c>
      <c r="G194" s="14"/>
      <c r="H194" s="14">
        <f t="shared" si="63"/>
        <v>0</v>
      </c>
      <c r="I194" s="53">
        <f t="shared" si="64"/>
        <v>0</v>
      </c>
      <c r="K194" s="2" t="s">
        <v>135</v>
      </c>
    </row>
    <row r="195" spans="1:11" ht="15" x14ac:dyDescent="0.25">
      <c r="A195" s="1">
        <f t="shared" ref="A195" si="69">MAX(A192:A194)+NoOne</f>
        <v>5</v>
      </c>
      <c r="B195" s="2" t="s">
        <v>89</v>
      </c>
      <c r="C195" s="52">
        <v>354037.29560906265</v>
      </c>
      <c r="D195" s="14">
        <v>690869.19849230337</v>
      </c>
      <c r="E195" s="14"/>
      <c r="F195" s="14">
        <f t="shared" si="66"/>
        <v>-336831.90288324072</v>
      </c>
      <c r="G195" s="14"/>
      <c r="H195" s="14">
        <f t="shared" si="63"/>
        <v>354037.29560906265</v>
      </c>
      <c r="I195" s="53">
        <f t="shared" si="64"/>
        <v>0.51245199001733588</v>
      </c>
      <c r="K195" s="2" t="s">
        <v>136</v>
      </c>
    </row>
    <row r="196" spans="1:11" ht="15" x14ac:dyDescent="0.25">
      <c r="A196" s="1">
        <f t="shared" ref="A196" si="70">MAX(A193:A195)+NoOne</f>
        <v>6</v>
      </c>
      <c r="B196" s="2" t="s">
        <v>93</v>
      </c>
      <c r="C196" s="52">
        <v>65923.096800000043</v>
      </c>
      <c r="D196" s="14">
        <v>88736.764789395194</v>
      </c>
      <c r="E196" s="62"/>
      <c r="F196" s="62">
        <f t="shared" si="66"/>
        <v>-22813.667989395151</v>
      </c>
      <c r="G196" s="14"/>
      <c r="H196" s="62">
        <f t="shared" si="63"/>
        <v>65923.096800000043</v>
      </c>
      <c r="I196" s="53">
        <f t="shared" si="64"/>
        <v>0.74290624586618259</v>
      </c>
      <c r="K196" s="2" t="s">
        <v>137</v>
      </c>
    </row>
    <row r="197" spans="1:11" x14ac:dyDescent="0.2">
      <c r="C197" s="36"/>
      <c r="D197" s="36"/>
      <c r="E197" s="36"/>
      <c r="F197" s="43"/>
      <c r="H197" s="36"/>
      <c r="I197" s="54"/>
    </row>
    <row r="198" spans="1:11" ht="13.5" thickBot="1" x14ac:dyDescent="0.25">
      <c r="A198" s="1">
        <v>7</v>
      </c>
      <c r="B198" s="16" t="s">
        <v>138</v>
      </c>
      <c r="C198" s="60">
        <f>SUM(C191:C196)</f>
        <v>4077136.5066004382</v>
      </c>
      <c r="D198" s="60">
        <f>SUM(D191:D196)</f>
        <v>9758495.865111161</v>
      </c>
      <c r="E198" s="60"/>
      <c r="F198" s="60">
        <f t="shared" si="66"/>
        <v>-5681359.3585107233</v>
      </c>
      <c r="G198" s="60"/>
      <c r="H198" s="63">
        <f>SUM(H191:H196)</f>
        <v>4077136.5066004382</v>
      </c>
      <c r="I198" s="61">
        <f>IF(D198&lt;&gt;0,C198/D198,0)</f>
        <v>0.41780378482068403</v>
      </c>
    </row>
    <row r="199" spans="1:11" ht="13.5" thickTop="1" x14ac:dyDescent="0.2"/>
    <row r="205" spans="1:11" x14ac:dyDescent="0.2">
      <c r="I205" s="4" t="s">
        <v>0</v>
      </c>
    </row>
    <row r="206" spans="1:11" x14ac:dyDescent="0.2">
      <c r="I206" s="4" t="s">
        <v>139</v>
      </c>
    </row>
    <row r="207" spans="1:11" x14ac:dyDescent="0.2">
      <c r="I207" s="5"/>
    </row>
    <row r="208" spans="1:11" x14ac:dyDescent="0.2">
      <c r="A208" s="6" t="str">
        <f>+A6</f>
        <v>NEWFOUNDLAND AND LABRADOR HYDRO</v>
      </c>
      <c r="B208" s="6"/>
      <c r="C208" s="6"/>
      <c r="D208" s="6"/>
      <c r="E208" s="6"/>
      <c r="F208" s="6"/>
      <c r="G208" s="6"/>
      <c r="H208" s="6"/>
      <c r="I208" s="6"/>
    </row>
    <row r="209" spans="1:18" x14ac:dyDescent="0.2">
      <c r="A209" s="6" t="str">
        <f>RunName</f>
        <v>2027 Test Year Cost of Service Study (No Rate Mitigation and Holyrood at 18.43%)</v>
      </c>
      <c r="B209" s="6"/>
      <c r="C209" s="6"/>
      <c r="D209" s="6"/>
      <c r="E209" s="6"/>
      <c r="F209" s="6"/>
      <c r="G209" s="6"/>
      <c r="H209" s="6"/>
      <c r="I209" s="6"/>
    </row>
    <row r="210" spans="1:18" x14ac:dyDescent="0.2">
      <c r="A210" s="6" t="s">
        <v>140</v>
      </c>
      <c r="B210" s="6"/>
      <c r="C210" s="6"/>
      <c r="D210" s="6"/>
      <c r="E210" s="6"/>
      <c r="F210" s="6"/>
      <c r="G210" s="6"/>
      <c r="H210" s="6"/>
      <c r="I210" s="6"/>
    </row>
    <row r="211" spans="1:18" x14ac:dyDescent="0.2">
      <c r="A211" s="6" t="s">
        <v>9</v>
      </c>
      <c r="B211" s="6"/>
      <c r="C211" s="6"/>
      <c r="D211" s="6"/>
      <c r="E211" s="6"/>
      <c r="F211" s="6"/>
      <c r="G211" s="6"/>
      <c r="H211" s="6"/>
      <c r="I211" s="6"/>
    </row>
    <row r="212" spans="1:18" x14ac:dyDescent="0.2">
      <c r="B212" s="1">
        <f t="shared" ref="B212:I212" si="71">MAX(A212)+NoOne</f>
        <v>1</v>
      </c>
      <c r="C212" s="1">
        <f t="shared" si="71"/>
        <v>2</v>
      </c>
      <c r="D212" s="1">
        <f t="shared" si="71"/>
        <v>3</v>
      </c>
      <c r="E212" s="1">
        <f t="shared" si="71"/>
        <v>4</v>
      </c>
      <c r="F212" s="1">
        <f t="shared" si="71"/>
        <v>5</v>
      </c>
      <c r="G212" s="1">
        <f t="shared" si="71"/>
        <v>6</v>
      </c>
      <c r="H212" s="1">
        <v>6</v>
      </c>
      <c r="I212" s="1">
        <f t="shared" si="71"/>
        <v>7</v>
      </c>
    </row>
    <row r="213" spans="1:18" x14ac:dyDescent="0.2">
      <c r="G213" s="1"/>
      <c r="H213" s="1"/>
      <c r="I213" s="1"/>
    </row>
    <row r="214" spans="1:18" x14ac:dyDescent="0.2">
      <c r="B214" s="1"/>
      <c r="C214" s="1"/>
      <c r="D214" s="8" t="s">
        <v>12</v>
      </c>
      <c r="E214" s="1"/>
      <c r="F214" s="1"/>
      <c r="H214" s="8" t="s">
        <v>13</v>
      </c>
      <c r="I214" s="1" t="s">
        <v>14</v>
      </c>
    </row>
    <row r="215" spans="1:18" x14ac:dyDescent="0.2">
      <c r="A215" s="1" t="s">
        <v>17</v>
      </c>
      <c r="B215" s="1"/>
      <c r="C215" s="1"/>
      <c r="D215" s="1" t="s">
        <v>18</v>
      </c>
      <c r="E215" s="1" t="s">
        <v>14</v>
      </c>
      <c r="F215" s="1" t="s">
        <v>30</v>
      </c>
      <c r="G215" s="8" t="s">
        <v>19</v>
      </c>
      <c r="H215" s="8" t="s">
        <v>20</v>
      </c>
      <c r="I215" s="1" t="s">
        <v>21</v>
      </c>
    </row>
    <row r="216" spans="1:18" x14ac:dyDescent="0.2">
      <c r="A216" s="1" t="s">
        <v>25</v>
      </c>
      <c r="B216" s="1" t="s">
        <v>26</v>
      </c>
      <c r="C216" s="1" t="s">
        <v>27</v>
      </c>
      <c r="D216" s="1" t="s">
        <v>28</v>
      </c>
      <c r="E216" s="1" t="s">
        <v>71</v>
      </c>
      <c r="F216" s="1" t="s">
        <v>72</v>
      </c>
      <c r="G216" s="1" t="s">
        <v>31</v>
      </c>
      <c r="H216" s="1" t="s">
        <v>28</v>
      </c>
      <c r="I216" s="1" t="s">
        <v>32</v>
      </c>
      <c r="R216" s="1"/>
    </row>
    <row r="217" spans="1:18" ht="15" x14ac:dyDescent="0.25">
      <c r="B217" s="1"/>
      <c r="C217" s="64"/>
      <c r="D217" s="64"/>
      <c r="E217" s="64"/>
      <c r="F217" s="64"/>
      <c r="H217" s="11" t="s">
        <v>38</v>
      </c>
      <c r="I217" s="1" t="s">
        <v>39</v>
      </c>
    </row>
    <row r="218" spans="1:18" ht="15" x14ac:dyDescent="0.25">
      <c r="B218" s="1"/>
      <c r="C218" s="64" t="s">
        <v>40</v>
      </c>
      <c r="D218" s="64" t="s">
        <v>40</v>
      </c>
      <c r="E218" s="64" t="s">
        <v>40</v>
      </c>
      <c r="F218" s="64" t="s">
        <v>40</v>
      </c>
      <c r="G218" s="1" t="s">
        <v>40</v>
      </c>
      <c r="H218" s="1" t="s">
        <v>40</v>
      </c>
      <c r="I218" s="1"/>
    </row>
    <row r="219" spans="1:18" ht="15" x14ac:dyDescent="0.25">
      <c r="B219" s="16" t="s">
        <v>140</v>
      </c>
      <c r="C219" s="53"/>
      <c r="D219" s="53"/>
      <c r="E219" s="53"/>
      <c r="F219" s="53"/>
      <c r="H219" s="53"/>
    </row>
    <row r="220" spans="1:18" ht="15" x14ac:dyDescent="0.25">
      <c r="A220" s="1">
        <v>1</v>
      </c>
      <c r="B220" s="2" t="s">
        <v>141</v>
      </c>
      <c r="C220" s="65">
        <v>9171997.7694181111</v>
      </c>
      <c r="D220" s="14">
        <v>9172199.8960632775</v>
      </c>
      <c r="E220" s="14"/>
      <c r="F220" s="20">
        <f>$F$27*(D220/SUM($D$220:$D$221))</f>
        <v>0</v>
      </c>
      <c r="G220" s="14"/>
      <c r="H220" s="14">
        <f>SUM(D220:F220)</f>
        <v>9172199.8960632775</v>
      </c>
      <c r="I220" s="53">
        <f t="shared" ref="I220:I221" si="72">IF(H220&lt;&gt;0,C220/H220,0)</f>
        <v>0.99997796312253806</v>
      </c>
      <c r="J220" s="13"/>
      <c r="K220" s="13"/>
      <c r="L220" s="13"/>
    </row>
    <row r="221" spans="1:18" ht="15" x14ac:dyDescent="0.25">
      <c r="A221" s="1">
        <v>2</v>
      </c>
      <c r="B221" s="2" t="s">
        <v>142</v>
      </c>
      <c r="C221" s="20">
        <f>+D221</f>
        <v>0</v>
      </c>
      <c r="D221" s="14">
        <v>0</v>
      </c>
      <c r="E221" s="14"/>
      <c r="F221" s="20">
        <f>$F$27*(D221/SUM($D$220:$D$221))</f>
        <v>0</v>
      </c>
      <c r="G221" s="14"/>
      <c r="H221" s="14">
        <f>SUM(D221:F221)</f>
        <v>0</v>
      </c>
      <c r="I221" s="53">
        <f t="shared" si="72"/>
        <v>0</v>
      </c>
    </row>
    <row r="222" spans="1:18" ht="15" x14ac:dyDescent="0.25">
      <c r="C222" s="20"/>
      <c r="D222" s="14"/>
      <c r="E222" s="14"/>
      <c r="F222" s="20"/>
      <c r="H222" s="14"/>
      <c r="I222" s="54"/>
    </row>
    <row r="223" spans="1:18" x14ac:dyDescent="0.2">
      <c r="A223" s="1">
        <v>3</v>
      </c>
      <c r="B223" s="16" t="s">
        <v>77</v>
      </c>
      <c r="C223" s="31">
        <f>+C220+C221+C222</f>
        <v>9171997.7694181111</v>
      </c>
      <c r="D223" s="31">
        <f>+D220+D221+D222</f>
        <v>9172199.8960632775</v>
      </c>
      <c r="E223" s="31">
        <f>+E220+E221+E222</f>
        <v>0</v>
      </c>
      <c r="F223" s="31">
        <f>+F220+F221</f>
        <v>0</v>
      </c>
      <c r="G223" s="31"/>
      <c r="H223" s="31">
        <f>+H220+H221+H222</f>
        <v>9172199.8960632775</v>
      </c>
      <c r="I223" s="32"/>
    </row>
    <row r="224" spans="1:18" ht="15" x14ac:dyDescent="0.25">
      <c r="C224" s="20"/>
      <c r="D224" s="14"/>
      <c r="E224" s="14"/>
      <c r="F224" s="20"/>
      <c r="H224" s="14"/>
      <c r="I224" s="54"/>
    </row>
    <row r="225" spans="1:14" ht="15" x14ac:dyDescent="0.25">
      <c r="A225" s="1">
        <v>4</v>
      </c>
      <c r="B225" s="2" t="s">
        <v>54</v>
      </c>
      <c r="C225" s="66">
        <v>0</v>
      </c>
      <c r="D225" s="28">
        <v>0</v>
      </c>
      <c r="E225" s="28">
        <f>+E246</f>
        <v>0</v>
      </c>
      <c r="F225" s="28">
        <v>0</v>
      </c>
      <c r="H225" s="28">
        <f>SUM(D225:F225)</f>
        <v>0</v>
      </c>
      <c r="I225" s="53">
        <f>IF(H225&lt;&gt;0,C225/H225,0)</f>
        <v>0</v>
      </c>
    </row>
    <row r="226" spans="1:14" ht="15" x14ac:dyDescent="0.25">
      <c r="C226" s="67"/>
      <c r="D226" s="14"/>
      <c r="E226" s="14"/>
      <c r="F226" s="20"/>
      <c r="H226" s="14"/>
      <c r="I226" s="54"/>
    </row>
    <row r="227" spans="1:14" ht="15" x14ac:dyDescent="0.25">
      <c r="B227" s="16" t="s">
        <v>78</v>
      </c>
      <c r="C227" s="14"/>
      <c r="D227" s="14"/>
      <c r="E227" s="14"/>
      <c r="F227" s="20"/>
      <c r="H227" s="14"/>
    </row>
    <row r="228" spans="1:14" ht="15" x14ac:dyDescent="0.25">
      <c r="A228" s="1">
        <f t="shared" ref="A228" si="73">MAX(A225:A227)+NoOne</f>
        <v>5</v>
      </c>
      <c r="B228" s="2" t="s">
        <v>143</v>
      </c>
      <c r="C228" s="52">
        <v>104600.66929263835</v>
      </c>
      <c r="D228" s="14">
        <v>206447.62225798349</v>
      </c>
      <c r="E228" s="14">
        <f t="shared" ref="E228:E234" si="74">-$E$249*(D228/$D$236)</f>
        <v>0</v>
      </c>
      <c r="F228" s="33">
        <f t="shared" ref="F228:F234" si="75">(D228/$D$236)*$F$29</f>
        <v>19471.083507943389</v>
      </c>
      <c r="H228" s="14">
        <f t="shared" ref="H228:H234" si="76">SUM(D228:F228)</f>
        <v>225918.70576592686</v>
      </c>
      <c r="I228" s="53">
        <f>IF(H228&lt;&gt;0,C228/H228,0)</f>
        <v>0.46300136563731265</v>
      </c>
      <c r="K228" s="17" t="s">
        <v>144</v>
      </c>
      <c r="L228" s="17"/>
      <c r="M228" s="17"/>
    </row>
    <row r="229" spans="1:14" ht="15" x14ac:dyDescent="0.25">
      <c r="A229" s="1">
        <f t="shared" ref="A229" si="77">MAX(A226:A228)+NoOne</f>
        <v>6</v>
      </c>
      <c r="B229" s="2" t="s">
        <v>145</v>
      </c>
      <c r="C229" s="52">
        <v>11621731.657853549</v>
      </c>
      <c r="D229" s="14">
        <v>12172687.442218101</v>
      </c>
      <c r="E229" s="14">
        <f t="shared" si="74"/>
        <v>0</v>
      </c>
      <c r="F229" s="20">
        <f t="shared" si="75"/>
        <v>1148065.6018762013</v>
      </c>
      <c r="H229" s="14">
        <f t="shared" si="76"/>
        <v>13320753.044094302</v>
      </c>
      <c r="I229" s="53">
        <f t="shared" ref="I229:I234" si="78">IF(H229&lt;&gt;0,C229/H229,0)</f>
        <v>0.87245305272031848</v>
      </c>
      <c r="K229" s="17" t="s">
        <v>146</v>
      </c>
      <c r="L229" s="17"/>
      <c r="M229" s="17"/>
    </row>
    <row r="230" spans="1:14" ht="15" x14ac:dyDescent="0.25">
      <c r="A230" s="1">
        <f t="shared" ref="A230" si="79">MAX(A227:A229)+NoOne</f>
        <v>7</v>
      </c>
      <c r="B230" s="2" t="s">
        <v>104</v>
      </c>
      <c r="C230" s="52">
        <v>297862.23854982306</v>
      </c>
      <c r="D230" s="14">
        <v>302668.04169709131</v>
      </c>
      <c r="E230" s="14">
        <f t="shared" si="74"/>
        <v>0</v>
      </c>
      <c r="F230" s="20">
        <f t="shared" si="75"/>
        <v>28546.101188345649</v>
      </c>
      <c r="H230" s="14">
        <f t="shared" si="76"/>
        <v>331214.14288543694</v>
      </c>
      <c r="I230" s="53">
        <f t="shared" si="78"/>
        <v>0.89930410566088081</v>
      </c>
      <c r="K230" s="17" t="s">
        <v>147</v>
      </c>
      <c r="L230" s="17"/>
      <c r="M230" s="17"/>
      <c r="N230" s="17"/>
    </row>
    <row r="231" spans="1:14" ht="15" x14ac:dyDescent="0.25">
      <c r="A231" s="1">
        <f t="shared" ref="A231" si="80">MAX(A228:A230)+NoOne</f>
        <v>8</v>
      </c>
      <c r="B231" s="2" t="s">
        <v>87</v>
      </c>
      <c r="C231" s="52">
        <v>2454187.9387333281</v>
      </c>
      <c r="D231" s="14">
        <v>1963428.7597446749</v>
      </c>
      <c r="E231" s="14">
        <f t="shared" si="74"/>
        <v>0</v>
      </c>
      <c r="F231" s="20">
        <f t="shared" si="75"/>
        <v>185180.55536194431</v>
      </c>
      <c r="H231" s="14">
        <f t="shared" si="76"/>
        <v>2148609.3151066191</v>
      </c>
      <c r="I231" s="53">
        <f t="shared" si="78"/>
        <v>1.1422215855987505</v>
      </c>
      <c r="K231" s="17" t="s">
        <v>148</v>
      </c>
      <c r="L231" s="17"/>
      <c r="M231" s="17"/>
    </row>
    <row r="232" spans="1:14" ht="15" x14ac:dyDescent="0.25">
      <c r="A232" s="1">
        <f t="shared" ref="A232" si="81">MAX(A229:A231)+NoOne</f>
        <v>9</v>
      </c>
      <c r="B232" s="2" t="s">
        <v>89</v>
      </c>
      <c r="C232" s="52">
        <v>4196071.8853856707</v>
      </c>
      <c r="D232" s="14">
        <v>2864081.8364553126</v>
      </c>
      <c r="E232" s="14">
        <f t="shared" si="74"/>
        <v>0</v>
      </c>
      <c r="F232" s="20">
        <f t="shared" si="75"/>
        <v>270125.54565301468</v>
      </c>
      <c r="H232" s="14">
        <f t="shared" si="76"/>
        <v>3134207.382108327</v>
      </c>
      <c r="I232" s="53">
        <f t="shared" si="78"/>
        <v>1.3387984181707357</v>
      </c>
      <c r="K232" s="17" t="s">
        <v>149</v>
      </c>
      <c r="L232" s="17"/>
      <c r="M232" s="17"/>
    </row>
    <row r="233" spans="1:14" ht="15" x14ac:dyDescent="0.25">
      <c r="A233" s="1">
        <f t="shared" ref="A233" si="82">MAX(A230:A232)+NoOne</f>
        <v>10</v>
      </c>
      <c r="B233" s="2" t="s">
        <v>91</v>
      </c>
      <c r="C233" s="52">
        <v>2863985.6473577758</v>
      </c>
      <c r="D233" s="14">
        <v>2090121.3207885535</v>
      </c>
      <c r="E233" s="14">
        <f t="shared" si="74"/>
        <v>0</v>
      </c>
      <c r="F233" s="20">
        <f t="shared" si="75"/>
        <v>197129.54953751265</v>
      </c>
      <c r="H233" s="14">
        <f t="shared" si="76"/>
        <v>2287250.8703260659</v>
      </c>
      <c r="I233" s="53">
        <f t="shared" si="78"/>
        <v>1.2521519543457389</v>
      </c>
      <c r="K233" s="17" t="s">
        <v>150</v>
      </c>
      <c r="L233" s="17"/>
      <c r="M233" s="17"/>
    </row>
    <row r="234" spans="1:14" ht="15" x14ac:dyDescent="0.25">
      <c r="A234" s="1">
        <f t="shared" ref="A234" si="83">MAX(A231:A233)+NoOne</f>
        <v>11</v>
      </c>
      <c r="B234" s="2" t="s">
        <v>93</v>
      </c>
      <c r="C234" s="52">
        <v>392808</v>
      </c>
      <c r="D234" s="14">
        <v>439584.88334692374</v>
      </c>
      <c r="E234" s="14">
        <f t="shared" si="74"/>
        <v>0</v>
      </c>
      <c r="F234" s="20">
        <f t="shared" si="75"/>
        <v>41459.39720139603</v>
      </c>
      <c r="H234" s="14">
        <f t="shared" si="76"/>
        <v>481044.2805483198</v>
      </c>
      <c r="I234" s="53">
        <f t="shared" si="78"/>
        <v>0.81657347542362757</v>
      </c>
      <c r="K234" s="17" t="s">
        <v>151</v>
      </c>
      <c r="L234" s="17"/>
      <c r="M234" s="17"/>
    </row>
    <row r="235" spans="1:14" ht="15" x14ac:dyDescent="0.25">
      <c r="C235" s="62"/>
      <c r="D235" s="62"/>
      <c r="E235" s="62"/>
      <c r="F235" s="28"/>
      <c r="H235" s="62"/>
      <c r="I235" s="54"/>
      <c r="M235" s="54"/>
    </row>
    <row r="236" spans="1:14" x14ac:dyDescent="0.2">
      <c r="A236" s="1">
        <v>12</v>
      </c>
      <c r="B236" s="16" t="s">
        <v>95</v>
      </c>
      <c r="C236" s="31">
        <f>SUM(C228:C234)</f>
        <v>21931248.037172787</v>
      </c>
      <c r="D236" s="31">
        <f>SUM(D228:D234)</f>
        <v>20039019.906508639</v>
      </c>
      <c r="E236" s="31">
        <f>SUM(E228:E234)</f>
        <v>0</v>
      </c>
      <c r="F236" s="31">
        <f>SUM(F228:F234)</f>
        <v>1889977.834326358</v>
      </c>
      <c r="G236" s="31"/>
      <c r="H236" s="31">
        <f>SUM(D236:F236)</f>
        <v>21928997.740834996</v>
      </c>
      <c r="I236" s="32"/>
      <c r="M236" s="54"/>
    </row>
    <row r="237" spans="1:14" ht="13.5" thickBot="1" x14ac:dyDescent="0.25">
      <c r="A237" s="1">
        <v>13</v>
      </c>
      <c r="B237" s="16" t="s">
        <v>152</v>
      </c>
      <c r="C237" s="34">
        <f>+C236+C225+C223</f>
        <v>31103245.8065909</v>
      </c>
      <c r="D237" s="34">
        <f>+D236+D225+D223</f>
        <v>29211219.802571915</v>
      </c>
      <c r="E237" s="34">
        <f>+E236+E225+E223</f>
        <v>0</v>
      </c>
      <c r="F237" s="34">
        <f>+F236+F225+F223</f>
        <v>1889977.834326358</v>
      </c>
      <c r="G237" s="34"/>
      <c r="H237" s="34">
        <f>SUM(D237:F237)</f>
        <v>31101197.636898272</v>
      </c>
      <c r="I237" s="35"/>
    </row>
    <row r="238" spans="1:14" ht="13.5" thickTop="1" x14ac:dyDescent="0.2"/>
    <row r="239" spans="1:14" x14ac:dyDescent="0.2">
      <c r="B239" s="2" t="s">
        <v>153</v>
      </c>
    </row>
    <row r="240" spans="1:14" x14ac:dyDescent="0.2">
      <c r="B240" s="2" t="s">
        <v>154</v>
      </c>
      <c r="C240" s="13"/>
      <c r="D240" s="13"/>
      <c r="E240" s="13"/>
      <c r="F240" s="13"/>
      <c r="G240" s="13"/>
    </row>
    <row r="241" spans="1:18" x14ac:dyDescent="0.2">
      <c r="C241" s="13"/>
      <c r="D241" s="13"/>
      <c r="E241" s="13"/>
      <c r="F241" s="13"/>
      <c r="G241" s="13"/>
    </row>
    <row r="242" spans="1:18" x14ac:dyDescent="0.2">
      <c r="B242" s="23" t="s">
        <v>155</v>
      </c>
      <c r="C242" s="13"/>
      <c r="D242" s="13"/>
      <c r="E242" s="13"/>
      <c r="F242" s="13"/>
      <c r="G242" s="13"/>
    </row>
    <row r="243" spans="1:18" x14ac:dyDescent="0.2">
      <c r="B243" s="41" t="s">
        <v>156</v>
      </c>
      <c r="C243" s="13"/>
      <c r="E243" s="13">
        <f>+C225</f>
        <v>0</v>
      </c>
      <c r="F243" s="13"/>
      <c r="G243" s="13"/>
    </row>
    <row r="244" spans="1:18" x14ac:dyDescent="0.2">
      <c r="B244" s="41" t="s">
        <v>157</v>
      </c>
      <c r="C244" s="13"/>
      <c r="E244" s="13">
        <f>-D225</f>
        <v>0</v>
      </c>
      <c r="F244" s="13"/>
      <c r="G244" s="13"/>
      <c r="R244" s="1"/>
    </row>
    <row r="245" spans="1:18" x14ac:dyDescent="0.2">
      <c r="B245" s="41" t="s">
        <v>158</v>
      </c>
      <c r="C245" s="13"/>
      <c r="E245" s="13">
        <v>0</v>
      </c>
      <c r="F245" s="13"/>
      <c r="G245" s="13"/>
    </row>
    <row r="246" spans="1:18" ht="13.5" thickBot="1" x14ac:dyDescent="0.25">
      <c r="B246" s="57" t="s">
        <v>159</v>
      </c>
      <c r="E246" s="68">
        <f>SUM(E243:E245)</f>
        <v>0</v>
      </c>
    </row>
    <row r="247" spans="1:18" ht="13.5" thickTop="1" x14ac:dyDescent="0.2">
      <c r="B247" s="57"/>
      <c r="E247" s="13"/>
    </row>
    <row r="248" spans="1:18" x14ac:dyDescent="0.2">
      <c r="B248" s="57" t="s">
        <v>160</v>
      </c>
      <c r="D248" s="69">
        <f>+[4]RunOptions!B18</f>
        <v>1</v>
      </c>
      <c r="E248" s="13">
        <f>+E246*D248</f>
        <v>0</v>
      </c>
    </row>
    <row r="249" spans="1:18" x14ac:dyDescent="0.2">
      <c r="B249" s="57" t="s">
        <v>161</v>
      </c>
      <c r="E249" s="13">
        <f>+E246-E248</f>
        <v>0</v>
      </c>
    </row>
    <row r="250" spans="1:18" ht="13.5" thickBot="1" x14ac:dyDescent="0.25">
      <c r="B250" s="57"/>
      <c r="E250" s="68">
        <f>SUM(E248:E249)</f>
        <v>0</v>
      </c>
    </row>
    <row r="251" spans="1:18" ht="13.5" thickTop="1" x14ac:dyDescent="0.2">
      <c r="H251" s="70" t="s">
        <v>162</v>
      </c>
    </row>
    <row r="252" spans="1:18" x14ac:dyDescent="0.2">
      <c r="G252" s="70"/>
      <c r="H252" s="70" t="s">
        <v>4</v>
      </c>
    </row>
    <row r="253" spans="1:18" x14ac:dyDescent="0.2">
      <c r="G253" s="70"/>
    </row>
    <row r="255" spans="1:18" x14ac:dyDescent="0.2">
      <c r="A255" s="6" t="str">
        <f>+A6</f>
        <v>NEWFOUNDLAND AND LABRADOR HYDRO</v>
      </c>
      <c r="B255" s="6"/>
      <c r="C255" s="6"/>
      <c r="D255" s="6"/>
      <c r="E255" s="6"/>
      <c r="F255" s="6"/>
      <c r="G255" s="6"/>
      <c r="H255" s="6"/>
    </row>
    <row r="256" spans="1:18" x14ac:dyDescent="0.2">
      <c r="A256" s="6" t="str">
        <f>RunName</f>
        <v>2027 Test Year Cost of Service Study (No Rate Mitigation and Holyrood at 18.43%)</v>
      </c>
      <c r="B256" s="6"/>
      <c r="C256" s="6"/>
      <c r="D256" s="6"/>
      <c r="E256" s="6"/>
      <c r="F256" s="6"/>
      <c r="G256" s="6"/>
      <c r="H256" s="6"/>
    </row>
    <row r="257" spans="1:18" x14ac:dyDescent="0.2">
      <c r="A257" s="6" t="s">
        <v>8</v>
      </c>
      <c r="B257" s="6"/>
      <c r="C257" s="6"/>
      <c r="D257" s="6"/>
      <c r="E257" s="6"/>
      <c r="F257" s="6"/>
      <c r="G257" s="6"/>
      <c r="H257" s="6"/>
    </row>
    <row r="258" spans="1:18" x14ac:dyDescent="0.2">
      <c r="A258" s="6" t="s">
        <v>163</v>
      </c>
      <c r="B258" s="6"/>
      <c r="C258" s="6"/>
      <c r="D258" s="6"/>
      <c r="E258" s="6"/>
      <c r="F258" s="6"/>
      <c r="G258" s="6"/>
      <c r="H258" s="6"/>
    </row>
    <row r="259" spans="1:18" x14ac:dyDescent="0.2">
      <c r="B259" s="42"/>
      <c r="C259" s="42"/>
      <c r="D259" s="42"/>
      <c r="E259" s="42"/>
      <c r="F259" s="42"/>
      <c r="G259" s="42"/>
    </row>
    <row r="260" spans="1:18" s="1" customFormat="1" x14ac:dyDescent="0.2">
      <c r="B260" s="1">
        <f t="shared" ref="B260:C260" si="84">MAX(A260)+NoOne</f>
        <v>1</v>
      </c>
      <c r="C260" s="1">
        <f t="shared" si="84"/>
        <v>2</v>
      </c>
      <c r="F260" s="1">
        <v>3</v>
      </c>
      <c r="H260" s="1">
        <v>4</v>
      </c>
      <c r="I260" s="1">
        <v>5</v>
      </c>
      <c r="J260" s="1">
        <v>6</v>
      </c>
    </row>
    <row r="261" spans="1:18" s="1" customFormat="1" x14ac:dyDescent="0.2"/>
    <row r="262" spans="1:18" s="1" customFormat="1" ht="38.25" x14ac:dyDescent="0.2">
      <c r="C262" s="71" t="s">
        <v>164</v>
      </c>
      <c r="F262" s="72"/>
      <c r="H262" s="72"/>
      <c r="I262" s="72"/>
    </row>
    <row r="263" spans="1:18" x14ac:dyDescent="0.2">
      <c r="A263" s="1" t="s">
        <v>17</v>
      </c>
      <c r="B263" s="1"/>
      <c r="C263" s="1" t="s">
        <v>165</v>
      </c>
      <c r="D263" s="1" t="s">
        <v>166</v>
      </c>
      <c r="E263" s="1" t="s">
        <v>215</v>
      </c>
      <c r="F263" s="1"/>
      <c r="H263" s="1"/>
      <c r="I263" s="1"/>
      <c r="J263" s="1"/>
    </row>
    <row r="264" spans="1:18" x14ac:dyDescent="0.2">
      <c r="A264" s="1" t="s">
        <v>25</v>
      </c>
      <c r="B264" s="1" t="s">
        <v>26</v>
      </c>
      <c r="C264" s="1" t="s">
        <v>167</v>
      </c>
      <c r="D264" s="1" t="s">
        <v>168</v>
      </c>
      <c r="E264" s="1" t="s">
        <v>167</v>
      </c>
      <c r="F264" s="1" t="s">
        <v>36</v>
      </c>
      <c r="H264" s="1" t="s">
        <v>37</v>
      </c>
      <c r="I264" s="1" t="s">
        <v>169</v>
      </c>
      <c r="J264" s="1" t="s">
        <v>170</v>
      </c>
    </row>
    <row r="265" spans="1:18" x14ac:dyDescent="0.2">
      <c r="B265" s="1"/>
      <c r="C265" s="1" t="s">
        <v>40</v>
      </c>
      <c r="D265" s="1" t="s">
        <v>40</v>
      </c>
      <c r="E265" s="1" t="s">
        <v>40</v>
      </c>
      <c r="F265" s="1" t="s">
        <v>40</v>
      </c>
      <c r="H265" s="1" t="s">
        <v>40</v>
      </c>
      <c r="I265" s="1" t="s">
        <v>40</v>
      </c>
      <c r="J265" s="1"/>
    </row>
    <row r="266" spans="1:18" x14ac:dyDescent="0.2">
      <c r="B266" s="1"/>
      <c r="C266" s="1"/>
      <c r="F266" s="1"/>
      <c r="H266" s="1"/>
      <c r="I266" s="1"/>
      <c r="J266" s="1"/>
    </row>
    <row r="267" spans="1:18" x14ac:dyDescent="0.2">
      <c r="B267" s="19" t="s">
        <v>171</v>
      </c>
      <c r="C267" s="1"/>
      <c r="F267" s="1"/>
      <c r="H267" s="1"/>
      <c r="I267" s="1"/>
      <c r="J267" s="1"/>
    </row>
    <row r="268" spans="1:18" ht="15" x14ac:dyDescent="0.25">
      <c r="A268" s="1">
        <v>1</v>
      </c>
      <c r="B268" s="23" t="s">
        <v>172</v>
      </c>
      <c r="C268" s="13">
        <f>SUM(F268:I268)</f>
        <v>1009398585.5062267</v>
      </c>
      <c r="D268" s="13"/>
      <c r="E268" s="13">
        <f>SUM(C268:D268)</f>
        <v>1009398585.5062267</v>
      </c>
      <c r="F268" s="14">
        <v>560290962.68750393</v>
      </c>
      <c r="H268" s="14">
        <v>446365960.08769494</v>
      </c>
      <c r="I268" s="14">
        <v>2741662.7310276977</v>
      </c>
      <c r="J268" s="2" t="s">
        <v>173</v>
      </c>
    </row>
    <row r="269" spans="1:18" ht="15" x14ac:dyDescent="0.25">
      <c r="A269" s="1">
        <v>2</v>
      </c>
      <c r="B269" s="2" t="s">
        <v>174</v>
      </c>
      <c r="C269" s="13">
        <f>SUM(F269:I269)</f>
        <v>20039019.906508639</v>
      </c>
      <c r="D269" s="13"/>
      <c r="E269" s="13">
        <f>SUM(C269:D269)</f>
        <v>20039019.906508639</v>
      </c>
      <c r="F269" s="13">
        <v>12775025.529698385</v>
      </c>
      <c r="H269" s="14">
        <v>1088077.3977040008</v>
      </c>
      <c r="I269" s="14">
        <v>6175916.9791062539</v>
      </c>
      <c r="J269" s="23" t="s">
        <v>175</v>
      </c>
    </row>
    <row r="270" spans="1:18" x14ac:dyDescent="0.2">
      <c r="C270" s="13"/>
      <c r="D270" s="13"/>
      <c r="E270" s="13"/>
      <c r="F270" s="13"/>
      <c r="H270" s="13"/>
      <c r="I270" s="13"/>
    </row>
    <row r="271" spans="1:18" ht="13.5" thickBot="1" x14ac:dyDescent="0.25">
      <c r="A271" s="1">
        <v>3</v>
      </c>
      <c r="B271" s="16" t="s">
        <v>176</v>
      </c>
      <c r="C271" s="73">
        <f>SUM(C268:C269)</f>
        <v>1029437605.4127353</v>
      </c>
      <c r="D271" s="73"/>
      <c r="E271" s="73">
        <f t="shared" ref="E271" si="85">SUM(E268:E269)</f>
        <v>1029437605.4127353</v>
      </c>
      <c r="F271" s="73">
        <f>SUM(F268:F269)</f>
        <v>573065988.21720231</v>
      </c>
      <c r="H271" s="73">
        <f>SUM(H268:H269)</f>
        <v>447454037.48539895</v>
      </c>
      <c r="I271" s="73">
        <f>SUM(I268:I269)</f>
        <v>8917579.7101339512</v>
      </c>
    </row>
    <row r="272" spans="1:18" ht="15.75" thickTop="1" x14ac:dyDescent="0.25">
      <c r="A272" s="6"/>
      <c r="H272" s="14"/>
      <c r="I272" s="14"/>
      <c r="R272" s="1"/>
    </row>
    <row r="273" spans="1:10" ht="15" x14ac:dyDescent="0.25">
      <c r="A273" s="1">
        <v>4</v>
      </c>
      <c r="B273" s="2" t="s">
        <v>177</v>
      </c>
      <c r="C273" s="13">
        <f>-1*F38</f>
        <v>97091288.153276458</v>
      </c>
      <c r="D273" s="13">
        <v>0</v>
      </c>
      <c r="E273" s="13">
        <f>SUM(C273:D273)</f>
        <v>97091288.153276458</v>
      </c>
      <c r="F273" s="13">
        <f>E273-SUM(H273:I273)</f>
        <v>54048652.099250592</v>
      </c>
      <c r="H273" s="14">
        <f>H$271/$C$271*$E$273</f>
        <v>42201575.559719086</v>
      </c>
      <c r="I273" s="14">
        <f>I$271/$C$271*$E$273</f>
        <v>841060.49430678377</v>
      </c>
      <c r="J273" s="23" t="s">
        <v>178</v>
      </c>
    </row>
    <row r="275" spans="1:10" x14ac:dyDescent="0.2">
      <c r="D275" s="4"/>
      <c r="E275" s="4"/>
      <c r="F275" s="4"/>
    </row>
    <row r="276" spans="1:10" x14ac:dyDescent="0.2">
      <c r="B276" s="2" t="s">
        <v>179</v>
      </c>
    </row>
    <row r="277" spans="1:10" x14ac:dyDescent="0.2">
      <c r="B277" s="23"/>
      <c r="D277" s="36"/>
      <c r="E277" s="36"/>
      <c r="F277" s="36"/>
      <c r="G277" s="57"/>
    </row>
    <row r="278" spans="1:10" x14ac:dyDescent="0.2">
      <c r="B278" s="16"/>
      <c r="C278" s="16"/>
      <c r="D278" s="74"/>
      <c r="E278" s="74"/>
      <c r="F278" s="74"/>
    </row>
    <row r="281" spans="1:10" x14ac:dyDescent="0.2">
      <c r="D281" s="36"/>
      <c r="E281" s="36"/>
      <c r="F281" s="36"/>
      <c r="G281" s="57"/>
    </row>
    <row r="282" spans="1:10" x14ac:dyDescent="0.2">
      <c r="B282" s="16"/>
      <c r="C282" s="16"/>
      <c r="D282" s="74"/>
      <c r="E282" s="74"/>
      <c r="F282" s="74"/>
    </row>
    <row r="283" spans="1:10" x14ac:dyDescent="0.2">
      <c r="B283" s="16"/>
      <c r="C283" s="16"/>
      <c r="D283" s="74"/>
      <c r="E283" s="74"/>
      <c r="F283" s="74"/>
    </row>
    <row r="285" spans="1:10" ht="15" x14ac:dyDescent="0.25">
      <c r="D285" s="75"/>
      <c r="E285" s="75"/>
      <c r="F285" s="75"/>
      <c r="G285" s="23"/>
    </row>
    <row r="286" spans="1:10" x14ac:dyDescent="0.2">
      <c r="D286" s="4"/>
      <c r="E286" s="4"/>
      <c r="F286" s="4"/>
    </row>
    <row r="288" spans="1:10" x14ac:dyDescent="0.2">
      <c r="B288" s="2" t="s">
        <v>180</v>
      </c>
    </row>
    <row r="289" spans="1:18" x14ac:dyDescent="0.2">
      <c r="B289" s="2" t="s">
        <v>181</v>
      </c>
    </row>
    <row r="291" spans="1:18" x14ac:dyDescent="0.2">
      <c r="B291" s="2" t="s">
        <v>182</v>
      </c>
    </row>
    <row r="292" spans="1:18" ht="15" x14ac:dyDescent="0.25">
      <c r="B292" s="2" t="s">
        <v>183</v>
      </c>
      <c r="D292" s="76">
        <v>534.2083438867088</v>
      </c>
      <c r="E292" s="2" t="s">
        <v>184</v>
      </c>
    </row>
    <row r="293" spans="1:18" ht="15" x14ac:dyDescent="0.25">
      <c r="B293" s="2" t="s">
        <v>185</v>
      </c>
      <c r="D293" s="76">
        <v>507.34482936963519</v>
      </c>
    </row>
    <row r="294" spans="1:18" x14ac:dyDescent="0.2">
      <c r="H294" s="70" t="s">
        <v>162</v>
      </c>
    </row>
    <row r="295" spans="1:18" x14ac:dyDescent="0.2">
      <c r="G295" s="70"/>
      <c r="H295" s="70" t="s">
        <v>6</v>
      </c>
    </row>
    <row r="296" spans="1:18" x14ac:dyDescent="0.2">
      <c r="G296" s="70"/>
    </row>
    <row r="298" spans="1:18" x14ac:dyDescent="0.2">
      <c r="A298" s="6" t="str">
        <f>+A6</f>
        <v>NEWFOUNDLAND AND LABRADOR HYDRO</v>
      </c>
      <c r="B298" s="6"/>
      <c r="C298" s="6"/>
      <c r="D298" s="6"/>
      <c r="E298" s="6"/>
      <c r="F298" s="6"/>
      <c r="G298" s="6"/>
      <c r="H298" s="6"/>
    </row>
    <row r="299" spans="1:18" x14ac:dyDescent="0.2">
      <c r="A299" s="6" t="str">
        <f>RunName</f>
        <v>2027 Test Year Cost of Service Study (No Rate Mitigation and Holyrood at 18.43%)</v>
      </c>
      <c r="B299" s="6"/>
      <c r="C299" s="6"/>
      <c r="D299" s="6"/>
      <c r="E299" s="6"/>
      <c r="F299" s="6"/>
      <c r="G299" s="6"/>
      <c r="H299" s="6"/>
    </row>
    <row r="300" spans="1:18" x14ac:dyDescent="0.2">
      <c r="A300" s="6" t="s">
        <v>8</v>
      </c>
      <c r="B300" s="6"/>
      <c r="C300" s="6"/>
      <c r="D300" s="6"/>
      <c r="E300" s="6"/>
      <c r="F300" s="6"/>
      <c r="G300" s="6"/>
      <c r="H300" s="6"/>
      <c r="R300" s="1"/>
    </row>
    <row r="301" spans="1:18" x14ac:dyDescent="0.2">
      <c r="A301" s="6" t="s">
        <v>163</v>
      </c>
      <c r="B301" s="6"/>
      <c r="C301" s="6"/>
      <c r="D301" s="6"/>
      <c r="E301" s="6"/>
      <c r="F301" s="6"/>
      <c r="G301" s="6"/>
      <c r="H301" s="6"/>
    </row>
    <row r="302" spans="1:18" x14ac:dyDescent="0.2">
      <c r="B302" s="42"/>
      <c r="C302" s="42"/>
      <c r="D302" s="42"/>
      <c r="E302" s="42"/>
      <c r="F302" s="42"/>
    </row>
    <row r="303" spans="1:18" x14ac:dyDescent="0.2">
      <c r="A303" s="1" t="s">
        <v>17</v>
      </c>
      <c r="B303" s="1">
        <v>1</v>
      </c>
      <c r="C303" s="1">
        <v>2</v>
      </c>
      <c r="D303" s="1"/>
      <c r="E303" s="1"/>
      <c r="F303" s="1"/>
      <c r="G303" s="1"/>
    </row>
    <row r="304" spans="1:18" x14ac:dyDescent="0.2">
      <c r="A304" s="1" t="s">
        <v>25</v>
      </c>
    </row>
    <row r="305" spans="1:7" x14ac:dyDescent="0.2">
      <c r="B305" s="1"/>
      <c r="C305" s="1" t="s">
        <v>186</v>
      </c>
      <c r="D305" s="10"/>
      <c r="E305" s="10"/>
      <c r="F305" s="10"/>
      <c r="G305" s="1"/>
    </row>
    <row r="306" spans="1:7" x14ac:dyDescent="0.2">
      <c r="B306" s="1"/>
      <c r="C306" s="1" t="s">
        <v>187</v>
      </c>
      <c r="D306" s="1" t="s">
        <v>188</v>
      </c>
      <c r="E306" s="1" t="s">
        <v>189</v>
      </c>
      <c r="F306" s="1"/>
      <c r="G306" s="1"/>
    </row>
    <row r="307" spans="1:7" x14ac:dyDescent="0.2">
      <c r="B307" s="1"/>
      <c r="C307" s="77" t="s">
        <v>198</v>
      </c>
      <c r="D307" s="77" t="s">
        <v>190</v>
      </c>
      <c r="E307" s="77" t="s">
        <v>191</v>
      </c>
      <c r="F307" s="1"/>
      <c r="G307" s="1"/>
    </row>
    <row r="308" spans="1:7" x14ac:dyDescent="0.2">
      <c r="B308" s="1"/>
      <c r="C308" s="1" t="s">
        <v>40</v>
      </c>
      <c r="D308" s="1" t="s">
        <v>40</v>
      </c>
      <c r="E308" s="1" t="s">
        <v>40</v>
      </c>
      <c r="F308" s="1"/>
      <c r="G308" s="1"/>
    </row>
    <row r="310" spans="1:7" x14ac:dyDescent="0.2">
      <c r="B310" s="2" t="s">
        <v>192</v>
      </c>
    </row>
    <row r="312" spans="1:7" ht="15" x14ac:dyDescent="0.25">
      <c r="A312" s="1">
        <v>1</v>
      </c>
      <c r="B312" s="2" t="s">
        <v>193</v>
      </c>
      <c r="C312" s="13">
        <f>C273</f>
        <v>97091288.153276458</v>
      </c>
      <c r="D312" s="62"/>
      <c r="E312" s="62"/>
      <c r="F312" s="62"/>
      <c r="G312" s="78"/>
    </row>
    <row r="313" spans="1:7" ht="15" hidden="1" x14ac:dyDescent="0.25">
      <c r="A313" s="1">
        <v>2</v>
      </c>
      <c r="B313" s="2" t="s">
        <v>194</v>
      </c>
      <c r="C313" s="13">
        <f>D273</f>
        <v>0</v>
      </c>
      <c r="D313" s="62"/>
      <c r="E313" s="62"/>
      <c r="F313" s="62"/>
      <c r="G313" s="78"/>
    </row>
    <row r="314" spans="1:7" ht="15" x14ac:dyDescent="0.25">
      <c r="C314" s="13"/>
      <c r="D314" s="62"/>
      <c r="E314" s="62"/>
      <c r="F314" s="62"/>
    </row>
    <row r="315" spans="1:7" ht="13.5" thickBot="1" x14ac:dyDescent="0.25">
      <c r="A315" s="1">
        <v>2</v>
      </c>
      <c r="B315" s="16" t="s">
        <v>195</v>
      </c>
      <c r="C315" s="73">
        <f>SUM(C312:C313)</f>
        <v>97091288.153276458</v>
      </c>
      <c r="D315" s="73">
        <f>E268/E271*E273</f>
        <v>95201310.318950087</v>
      </c>
      <c r="E315" s="73">
        <f>E269/E271*E273</f>
        <v>1889977.8343263578</v>
      </c>
      <c r="F315" s="47"/>
    </row>
    <row r="316" spans="1:7" ht="13.5" thickTop="1" x14ac:dyDescent="0.2"/>
    <row r="317" spans="1:7" x14ac:dyDescent="0.2">
      <c r="B317" s="2" t="s">
        <v>196</v>
      </c>
    </row>
    <row r="318" spans="1:7" x14ac:dyDescent="0.2">
      <c r="C318" s="77" t="s">
        <v>197</v>
      </c>
      <c r="D318" s="79" t="s">
        <v>198</v>
      </c>
      <c r="E318" s="77" t="s">
        <v>199</v>
      </c>
    </row>
    <row r="319" spans="1:7" x14ac:dyDescent="0.2">
      <c r="B319" s="16" t="s">
        <v>200</v>
      </c>
    </row>
    <row r="320" spans="1:7" ht="15" x14ac:dyDescent="0.25">
      <c r="A320" s="1">
        <v>3</v>
      </c>
      <c r="B320" s="23" t="s">
        <v>201</v>
      </c>
      <c r="C320" s="45">
        <f>C268/SUM($C$268:$C$268)*$D$315</f>
        <v>95201310.318950087</v>
      </c>
      <c r="D320" s="13">
        <f>SUM(F268:I268)</f>
        <v>1009398585.5062267</v>
      </c>
      <c r="E320" s="80">
        <f>+C320/C326</f>
        <v>0.98053401216242309</v>
      </c>
    </row>
    <row r="321" spans="1:5" hidden="1" x14ac:dyDescent="0.2">
      <c r="A321" s="1">
        <v>4</v>
      </c>
      <c r="B321" s="23" t="s">
        <v>202</v>
      </c>
      <c r="C321" s="45">
        <f>SUM(C320:C320)</f>
        <v>95201310.318950087</v>
      </c>
      <c r="E321" s="81"/>
    </row>
    <row r="322" spans="1:5" x14ac:dyDescent="0.2">
      <c r="B322" s="23"/>
      <c r="C322" s="13"/>
      <c r="E322" s="81"/>
    </row>
    <row r="323" spans="1:5" x14ac:dyDescent="0.2">
      <c r="B323" s="16" t="s">
        <v>203</v>
      </c>
      <c r="E323" s="81"/>
    </row>
    <row r="324" spans="1:5" ht="15" x14ac:dyDescent="0.25">
      <c r="A324" s="1">
        <v>4</v>
      </c>
      <c r="B324" s="2" t="s">
        <v>204</v>
      </c>
      <c r="C324" s="45">
        <f>C269/SUM($C$269:$C$269)*$E$315</f>
        <v>1889977.8343263578</v>
      </c>
      <c r="D324" s="13">
        <f>SUM(F269:I269)</f>
        <v>20039019.906508639</v>
      </c>
      <c r="E324" s="80">
        <f>+C324/C326</f>
        <v>1.9465987837576946E-2</v>
      </c>
    </row>
    <row r="325" spans="1:5" hidden="1" x14ac:dyDescent="0.2">
      <c r="A325" s="1">
        <v>5</v>
      </c>
      <c r="B325" s="2" t="s">
        <v>205</v>
      </c>
      <c r="C325" s="45">
        <f>SUM(C324:C324)</f>
        <v>1889977.8343263578</v>
      </c>
      <c r="E325" s="1"/>
    </row>
    <row r="326" spans="1:5" ht="15.75" thickBot="1" x14ac:dyDescent="0.3">
      <c r="A326" s="1">
        <v>5</v>
      </c>
      <c r="B326" s="16" t="s">
        <v>206</v>
      </c>
      <c r="C326" s="73">
        <f>SUM(C325,C321)</f>
        <v>97091288.153276443</v>
      </c>
      <c r="E326" s="82">
        <f>+C326/$C$326</f>
        <v>1</v>
      </c>
    </row>
    <row r="327" spans="1:5" ht="13.5" thickTop="1" x14ac:dyDescent="0.2"/>
  </sheetData>
  <mergeCells count="2">
    <mergeCell ref="J15:K15"/>
    <mergeCell ref="J16:K16"/>
  </mergeCells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4D0A-A457-4956-8C73-5C53737E6412}">
  <sheetPr codeName="Sheet18">
    <pageSetUpPr fitToPage="1"/>
  </sheetPr>
  <dimension ref="A1:AF327"/>
  <sheetViews>
    <sheetView zoomScaleNormal="100" workbookViewId="0"/>
  </sheetViews>
  <sheetFormatPr defaultRowHeight="12.75" x14ac:dyDescent="0.2"/>
  <cols>
    <col min="1" max="1" width="5.28515625" style="1" customWidth="1"/>
    <col min="2" max="2" width="35.7109375" style="2" customWidth="1"/>
    <col min="3" max="3" width="18.140625" style="2" customWidth="1"/>
    <col min="4" max="4" width="19" style="2" customWidth="1"/>
    <col min="5" max="5" width="14.7109375" style="2" customWidth="1"/>
    <col min="6" max="6" width="13.85546875" style="2" customWidth="1"/>
    <col min="7" max="7" width="14.7109375" style="2" hidden="1" customWidth="1"/>
    <col min="8" max="8" width="22.28515625" style="2" bestFit="1" customWidth="1"/>
    <col min="9" max="9" width="14.7109375" style="2" bestFit="1" customWidth="1"/>
    <col min="10" max="10" width="22.140625" style="2" customWidth="1"/>
    <col min="11" max="11" width="13.28515625" style="2" bestFit="1" customWidth="1"/>
    <col min="12" max="12" width="5.28515625" style="2" customWidth="1"/>
    <col min="13" max="13" width="35.7109375" style="2" customWidth="1"/>
    <col min="14" max="14" width="22.28515625" style="2" bestFit="1" customWidth="1"/>
    <col min="15" max="15" width="18.28515625" style="2" bestFit="1" customWidth="1"/>
    <col min="16" max="16" width="12" style="2" bestFit="1" customWidth="1"/>
    <col min="17" max="17" width="16.28515625" style="2" customWidth="1"/>
    <col min="18" max="21" width="9.140625" style="2"/>
    <col min="22" max="22" width="3.85546875" style="2" customWidth="1"/>
    <col min="23" max="23" width="9.140625" style="2"/>
    <col min="24" max="24" width="33.42578125" style="2" customWidth="1"/>
    <col min="25" max="25" width="22.140625" style="2" bestFit="1" customWidth="1"/>
    <col min="26" max="27" width="13.7109375" style="2" customWidth="1"/>
    <col min="28" max="28" width="13.140625" style="2" bestFit="1" customWidth="1"/>
    <col min="29" max="29" width="12.28515625" style="2" bestFit="1" customWidth="1"/>
    <col min="30" max="30" width="12.85546875" style="2" bestFit="1" customWidth="1"/>
    <col min="31" max="16384" width="9.140625" style="2"/>
  </cols>
  <sheetData>
    <row r="1" spans="1:32" ht="15" x14ac:dyDescent="0.25">
      <c r="C1" s="3"/>
      <c r="I1" s="4"/>
    </row>
    <row r="2" spans="1:32" x14ac:dyDescent="0.2">
      <c r="I2" s="4" t="s">
        <v>207</v>
      </c>
      <c r="M2" s="1"/>
      <c r="U2" s="4" t="s">
        <v>208</v>
      </c>
      <c r="X2" s="1"/>
      <c r="AC2" s="4" t="s">
        <v>208</v>
      </c>
      <c r="AF2" s="4" t="s">
        <v>209</v>
      </c>
    </row>
    <row r="3" spans="1:32" x14ac:dyDescent="0.2">
      <c r="I3" s="4" t="s">
        <v>3</v>
      </c>
      <c r="M3" s="1"/>
      <c r="U3" s="4" t="s">
        <v>4</v>
      </c>
      <c r="X3" s="1"/>
      <c r="AC3" s="4" t="s">
        <v>5</v>
      </c>
      <c r="AF3" s="4" t="s">
        <v>6</v>
      </c>
    </row>
    <row r="4" spans="1:32" x14ac:dyDescent="0.2">
      <c r="I4" s="5"/>
      <c r="M4" s="1"/>
      <c r="U4" s="5"/>
      <c r="X4" s="1"/>
      <c r="AF4" s="5"/>
    </row>
    <row r="5" spans="1:32" x14ac:dyDescent="0.2">
      <c r="M5" s="1"/>
      <c r="X5" s="1"/>
    </row>
    <row r="6" spans="1:32" x14ac:dyDescent="0.2">
      <c r="A6" s="6" t="s">
        <v>7</v>
      </c>
      <c r="B6" s="6"/>
      <c r="C6" s="6"/>
      <c r="D6" s="6"/>
      <c r="E6" s="6"/>
      <c r="F6" s="6"/>
      <c r="G6" s="6"/>
      <c r="H6" s="6"/>
      <c r="I6" s="6"/>
      <c r="M6" s="6" t="s">
        <v>7</v>
      </c>
      <c r="N6" s="6"/>
      <c r="O6" s="6"/>
      <c r="P6" s="6"/>
      <c r="Q6" s="6"/>
      <c r="R6" s="6"/>
      <c r="S6" s="6"/>
      <c r="T6" s="6"/>
      <c r="U6" s="6"/>
      <c r="X6" s="6" t="s">
        <v>7</v>
      </c>
      <c r="Y6" s="6"/>
      <c r="Z6" s="6"/>
      <c r="AA6" s="6"/>
      <c r="AB6" s="6"/>
      <c r="AC6" s="6"/>
      <c r="AD6" s="6"/>
      <c r="AE6" s="6"/>
      <c r="AF6" s="6"/>
    </row>
    <row r="7" spans="1:32" x14ac:dyDescent="0.2">
      <c r="A7" s="7" t="str">
        <f>RunName</f>
        <v>2027 Test Year Cost of Service Study</v>
      </c>
      <c r="B7" s="6"/>
      <c r="C7" s="6"/>
      <c r="D7" s="6"/>
      <c r="E7" s="6"/>
      <c r="F7" s="6"/>
      <c r="G7" s="6"/>
      <c r="H7" s="6"/>
      <c r="I7" s="6"/>
      <c r="M7" s="7" t="str">
        <f>RunName</f>
        <v>2027 Test Year Cost of Service Study</v>
      </c>
      <c r="N7" s="6"/>
      <c r="O7" s="6"/>
      <c r="P7" s="6"/>
      <c r="Q7" s="6"/>
      <c r="R7" s="6"/>
      <c r="S7" s="6"/>
      <c r="T7" s="6"/>
      <c r="U7" s="6"/>
      <c r="X7" s="7" t="str">
        <f>RunName</f>
        <v>2027 Test Year Cost of Service Study</v>
      </c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6" t="s">
        <v>8</v>
      </c>
      <c r="B8" s="6"/>
      <c r="C8" s="6"/>
      <c r="D8" s="6"/>
      <c r="E8" s="6"/>
      <c r="F8" s="6"/>
      <c r="G8" s="6"/>
      <c r="H8" s="6"/>
      <c r="I8" s="6"/>
      <c r="M8" s="6" t="s">
        <v>8</v>
      </c>
      <c r="N8" s="6"/>
      <c r="O8" s="6"/>
      <c r="P8" s="6"/>
      <c r="Q8" s="6"/>
      <c r="R8" s="6"/>
      <c r="S8" s="6"/>
      <c r="T8" s="6"/>
      <c r="U8" s="6"/>
      <c r="X8" s="6" t="s">
        <v>8</v>
      </c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6" t="s">
        <v>9</v>
      </c>
      <c r="B9" s="6"/>
      <c r="C9" s="6"/>
      <c r="D9" s="6"/>
      <c r="E9" s="6"/>
      <c r="F9" s="6"/>
      <c r="G9" s="6"/>
      <c r="H9" s="6"/>
      <c r="I9" s="6"/>
      <c r="M9" s="6" t="s">
        <v>10</v>
      </c>
      <c r="N9" s="6"/>
      <c r="O9" s="6"/>
      <c r="P9" s="6"/>
      <c r="Q9" s="6"/>
      <c r="R9" s="6"/>
      <c r="S9" s="6"/>
      <c r="T9" s="6"/>
      <c r="U9" s="6"/>
      <c r="X9" s="6" t="s">
        <v>11</v>
      </c>
      <c r="Y9" s="6"/>
      <c r="Z9" s="6"/>
      <c r="AA9" s="6"/>
      <c r="AB9" s="6"/>
      <c r="AC9" s="6"/>
      <c r="AD9" s="6"/>
      <c r="AE9" s="6"/>
      <c r="AF9" s="6"/>
    </row>
    <row r="10" spans="1:32" x14ac:dyDescent="0.2">
      <c r="M10" s="1"/>
      <c r="X10" s="1"/>
    </row>
    <row r="11" spans="1:32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v>6</v>
      </c>
      <c r="I11" s="1">
        <f t="shared" si="0"/>
        <v>7</v>
      </c>
      <c r="N11" s="1">
        <f t="shared" ref="N11" si="1">MAX(M11)+NoOne</f>
        <v>1</v>
      </c>
      <c r="O11" s="1">
        <f t="shared" ref="O11" si="2">MAX(N11)+NoOne</f>
        <v>2</v>
      </c>
      <c r="P11" s="1">
        <f t="shared" ref="P11" si="3">MAX(O11)+NoOne</f>
        <v>3</v>
      </c>
      <c r="Q11" s="1">
        <f t="shared" ref="Q11" si="4">MAX(P11)+NoOne</f>
        <v>4</v>
      </c>
      <c r="Y11" s="1">
        <f t="shared" ref="Y11" si="5">MAX(X11)+NoOne</f>
        <v>1</v>
      </c>
    </row>
    <row r="12" spans="1:32" s="1" customFormat="1" x14ac:dyDescent="0.2"/>
    <row r="13" spans="1:32" x14ac:dyDescent="0.2">
      <c r="B13" s="1"/>
      <c r="C13" s="1"/>
      <c r="D13" s="8" t="s">
        <v>12</v>
      </c>
      <c r="E13" s="1"/>
      <c r="F13" s="1"/>
      <c r="H13" s="8" t="s">
        <v>13</v>
      </c>
      <c r="I13" s="1" t="s">
        <v>14</v>
      </c>
      <c r="N13" s="8" t="s">
        <v>13</v>
      </c>
      <c r="O13" s="9" t="s">
        <v>15</v>
      </c>
      <c r="P13" s="9"/>
      <c r="Y13" s="8" t="s">
        <v>16</v>
      </c>
      <c r="Z13" s="9"/>
      <c r="AA13" s="9"/>
    </row>
    <row r="14" spans="1:32" x14ac:dyDescent="0.2">
      <c r="A14" s="1" t="s">
        <v>17</v>
      </c>
      <c r="B14" s="1"/>
      <c r="C14" s="1"/>
      <c r="D14" s="1" t="s">
        <v>18</v>
      </c>
      <c r="E14" s="1" t="s">
        <v>14</v>
      </c>
      <c r="F14" s="1"/>
      <c r="G14" s="8" t="s">
        <v>19</v>
      </c>
      <c r="H14" s="8" t="s">
        <v>20</v>
      </c>
      <c r="I14" s="1" t="s">
        <v>21</v>
      </c>
      <c r="L14" s="1" t="s">
        <v>17</v>
      </c>
      <c r="M14" s="1"/>
      <c r="N14" s="8" t="s">
        <v>20</v>
      </c>
      <c r="O14" s="9" t="s">
        <v>22</v>
      </c>
      <c r="P14" s="9"/>
      <c r="Q14" s="1" t="s">
        <v>23</v>
      </c>
      <c r="W14" s="1" t="s">
        <v>17</v>
      </c>
      <c r="X14" s="1"/>
      <c r="Y14" s="8" t="s">
        <v>24</v>
      </c>
      <c r="Z14" s="9"/>
      <c r="AA14" s="9"/>
      <c r="AB14" s="1"/>
    </row>
    <row r="15" spans="1:32" x14ac:dyDescent="0.2">
      <c r="A15" s="1" t="s">
        <v>25</v>
      </c>
      <c r="B15" s="1" t="s">
        <v>26</v>
      </c>
      <c r="C15" s="1" t="s">
        <v>27</v>
      </c>
      <c r="D15" s="1" t="s">
        <v>28</v>
      </c>
      <c r="E15" s="8" t="s">
        <v>29</v>
      </c>
      <c r="F15" s="1" t="s">
        <v>30</v>
      </c>
      <c r="G15" s="1" t="s">
        <v>31</v>
      </c>
      <c r="H15" s="1" t="s">
        <v>28</v>
      </c>
      <c r="I15" s="1" t="s">
        <v>32</v>
      </c>
      <c r="L15" s="1" t="s">
        <v>25</v>
      </c>
      <c r="M15" s="1" t="s">
        <v>26</v>
      </c>
      <c r="N15" s="1" t="s">
        <v>28</v>
      </c>
      <c r="O15" s="10" t="s">
        <v>33</v>
      </c>
      <c r="P15" s="10"/>
      <c r="Q15" s="1" t="s">
        <v>34</v>
      </c>
      <c r="W15" s="1" t="s">
        <v>25</v>
      </c>
      <c r="X15" s="1" t="s">
        <v>26</v>
      </c>
      <c r="Y15" s="1" t="s">
        <v>35</v>
      </c>
      <c r="Z15" s="1" t="s">
        <v>36</v>
      </c>
      <c r="AA15" s="10" t="s">
        <v>37</v>
      </c>
      <c r="AB15" s="1" t="s">
        <v>36</v>
      </c>
      <c r="AC15" s="10" t="s">
        <v>37</v>
      </c>
    </row>
    <row r="16" spans="1:32" x14ac:dyDescent="0.2">
      <c r="B16" s="1"/>
      <c r="C16" s="1"/>
      <c r="D16" s="1"/>
      <c r="E16" s="1"/>
      <c r="F16" s="1"/>
      <c r="H16" s="11" t="s">
        <v>38</v>
      </c>
      <c r="I16" s="1" t="s">
        <v>39</v>
      </c>
      <c r="L16" s="1"/>
      <c r="M16" s="1"/>
      <c r="N16" s="11"/>
      <c r="W16" s="1"/>
      <c r="X16" s="1"/>
      <c r="Y16" s="11"/>
    </row>
    <row r="17" spans="1:30" ht="11.25" customHeight="1" x14ac:dyDescent="0.2">
      <c r="B17" s="1"/>
      <c r="C17" s="1" t="s">
        <v>40</v>
      </c>
      <c r="D17" s="1" t="s">
        <v>40</v>
      </c>
      <c r="E17" s="1" t="s">
        <v>40</v>
      </c>
      <c r="F17" s="1" t="s">
        <v>40</v>
      </c>
      <c r="G17" s="1" t="s">
        <v>40</v>
      </c>
      <c r="H17" s="1" t="s">
        <v>40</v>
      </c>
      <c r="I17" s="1"/>
      <c r="L17" s="1"/>
      <c r="M17" s="1"/>
      <c r="N17" s="1" t="s">
        <v>40</v>
      </c>
      <c r="O17" s="1" t="s">
        <v>40</v>
      </c>
      <c r="P17" s="1" t="s">
        <v>40</v>
      </c>
      <c r="Q17" s="1" t="s">
        <v>40</v>
      </c>
      <c r="W17" s="1"/>
      <c r="X17" s="1"/>
      <c r="Y17" s="1" t="s">
        <v>40</v>
      </c>
      <c r="Z17" s="1" t="s">
        <v>40</v>
      </c>
      <c r="AA17" s="1" t="s">
        <v>40</v>
      </c>
      <c r="AB17" s="1" t="s">
        <v>41</v>
      </c>
      <c r="AC17" s="1" t="s">
        <v>41</v>
      </c>
    </row>
    <row r="18" spans="1:30" ht="4.5" customHeight="1" x14ac:dyDescent="0.2">
      <c r="L18" s="1"/>
      <c r="W18" s="1"/>
    </row>
    <row r="19" spans="1:30" ht="15" x14ac:dyDescent="0.25">
      <c r="H19" s="12"/>
      <c r="J19" s="13"/>
      <c r="L19" s="1"/>
      <c r="O19" s="1"/>
      <c r="P19" s="1"/>
      <c r="W19" s="1">
        <v>1</v>
      </c>
      <c r="X19" s="2" t="s">
        <v>42</v>
      </c>
      <c r="Y19" s="14">
        <v>269134555.84989369</v>
      </c>
      <c r="Z19" s="14">
        <v>133794097.71196806</v>
      </c>
      <c r="AA19" s="14">
        <v>135340458.13792562</v>
      </c>
      <c r="AB19" s="15">
        <f>Z19/$Y19</f>
        <v>0.49712716113121491</v>
      </c>
      <c r="AC19" s="15">
        <f>AA19/$Y19</f>
        <v>0.50287283886878509</v>
      </c>
    </row>
    <row r="20" spans="1:30" ht="15" x14ac:dyDescent="0.25">
      <c r="B20" s="16" t="s">
        <v>8</v>
      </c>
      <c r="C20" s="13"/>
      <c r="D20" s="13"/>
      <c r="H20" s="17"/>
      <c r="I20" s="17"/>
      <c r="J20" s="1"/>
      <c r="L20" s="1"/>
      <c r="M20" s="16" t="s">
        <v>8</v>
      </c>
      <c r="W20" s="1">
        <v>2</v>
      </c>
      <c r="X20" s="2" t="s">
        <v>43</v>
      </c>
      <c r="Y20" s="14">
        <v>-40178593</v>
      </c>
      <c r="Z20" s="14">
        <v>-19973869.876336504</v>
      </c>
      <c r="AA20" s="14">
        <v>-20204723.123663496</v>
      </c>
      <c r="AB20" s="15">
        <f t="shared" ref="AB20:AC22" si="6">Z20/$Y20</f>
        <v>0.49712716113121491</v>
      </c>
      <c r="AC20" s="15">
        <f t="shared" si="6"/>
        <v>0.50287283886878509</v>
      </c>
    </row>
    <row r="21" spans="1:30" ht="15" x14ac:dyDescent="0.25">
      <c r="A21" s="1">
        <v>1</v>
      </c>
      <c r="B21" s="2" t="s">
        <v>44</v>
      </c>
      <c r="C21" s="13">
        <f>C66</f>
        <v>636811717.27999985</v>
      </c>
      <c r="D21" s="13">
        <f>D66</f>
        <v>574037013.76257324</v>
      </c>
      <c r="E21" s="13">
        <f t="shared" ref="D21:G22" si="7">E66</f>
        <v>0</v>
      </c>
      <c r="F21" s="13">
        <f t="shared" si="7"/>
        <v>62778787.672969401</v>
      </c>
      <c r="G21" s="14">
        <f t="shared" si="7"/>
        <v>0</v>
      </c>
      <c r="H21" s="13">
        <f>SUM(D21:G21)</f>
        <v>636815801.43554258</v>
      </c>
      <c r="I21" s="13"/>
      <c r="J21" s="14"/>
      <c r="K21" s="13"/>
      <c r="L21" s="1">
        <v>1</v>
      </c>
      <c r="M21" s="2" t="s">
        <v>44</v>
      </c>
      <c r="N21" s="18">
        <f>H21</f>
        <v>636815801.43554258</v>
      </c>
      <c r="O21" s="18">
        <v>-435587126.90141916</v>
      </c>
      <c r="P21" s="18"/>
      <c r="Q21" s="18">
        <f>SUM(N21:P21)</f>
        <v>201228674.53412342</v>
      </c>
      <c r="R21" s="1"/>
      <c r="W21" s="1">
        <v>3</v>
      </c>
      <c r="X21" s="2" t="s">
        <v>45</v>
      </c>
      <c r="Y21" s="14">
        <v>46146683.150106318</v>
      </c>
      <c r="Z21" s="14">
        <v>22940769.590034023</v>
      </c>
      <c r="AA21" s="14">
        <v>23205913.560072295</v>
      </c>
      <c r="AB21" s="15">
        <f t="shared" si="6"/>
        <v>0.49712716113121491</v>
      </c>
      <c r="AC21" s="15">
        <f t="shared" si="6"/>
        <v>0.50287283886878509</v>
      </c>
    </row>
    <row r="22" spans="1:30" ht="15" x14ac:dyDescent="0.25">
      <c r="A22" s="1">
        <v>2</v>
      </c>
      <c r="B22" s="19" t="s">
        <v>46</v>
      </c>
      <c r="C22" s="13">
        <f>C67</f>
        <v>0</v>
      </c>
      <c r="D22" s="13">
        <f t="shared" si="7"/>
        <v>0</v>
      </c>
      <c r="E22" s="13">
        <f t="shared" si="7"/>
        <v>0</v>
      </c>
      <c r="F22" s="13">
        <f t="shared" si="7"/>
        <v>0</v>
      </c>
      <c r="G22" s="13">
        <f t="shared" si="7"/>
        <v>0</v>
      </c>
      <c r="H22" s="20">
        <f>SUM(D22:G22)</f>
        <v>0</v>
      </c>
      <c r="I22" s="17"/>
      <c r="L22" s="1">
        <v>2</v>
      </c>
      <c r="M22" s="19" t="s">
        <v>47</v>
      </c>
      <c r="O22" s="18">
        <v>-32107596.128737524</v>
      </c>
      <c r="Q22" s="18">
        <f>SUM(N22:P22)</f>
        <v>-32107596.128737524</v>
      </c>
      <c r="W22" s="1">
        <v>4</v>
      </c>
      <c r="X22" s="2" t="s">
        <v>48</v>
      </c>
      <c r="Y22" s="14">
        <v>465082406</v>
      </c>
      <c r="Z22" s="14">
        <v>231205096.18685511</v>
      </c>
      <c r="AA22" s="14">
        <v>233877309.81314489</v>
      </c>
      <c r="AB22" s="15">
        <f t="shared" si="6"/>
        <v>0.49712716113121491</v>
      </c>
      <c r="AC22" s="15">
        <f t="shared" si="6"/>
        <v>0.50287283886878509</v>
      </c>
    </row>
    <row r="23" spans="1:30" ht="18" customHeight="1" x14ac:dyDescent="0.2">
      <c r="A23" s="1">
        <v>3</v>
      </c>
      <c r="B23" s="19" t="s">
        <v>49</v>
      </c>
      <c r="C23" s="21">
        <f t="shared" ref="C23:H23" si="8">SUM(C21:C22)</f>
        <v>636811717.27999985</v>
      </c>
      <c r="D23" s="21">
        <f t="shared" si="8"/>
        <v>574037013.76257324</v>
      </c>
      <c r="E23" s="21">
        <f t="shared" si="8"/>
        <v>0</v>
      </c>
      <c r="F23" s="21">
        <f t="shared" si="8"/>
        <v>62778787.672969401</v>
      </c>
      <c r="G23" s="21">
        <f t="shared" si="8"/>
        <v>0</v>
      </c>
      <c r="H23" s="21">
        <f t="shared" si="8"/>
        <v>636815801.43554258</v>
      </c>
      <c r="I23" s="22">
        <f>IF(D23&lt;&gt;0,C23/D23,0)</f>
        <v>1.1093565432409396</v>
      </c>
      <c r="J23" s="15"/>
      <c r="K23" s="13"/>
      <c r="L23" s="1">
        <v>3</v>
      </c>
      <c r="M23" s="19" t="s">
        <v>49</v>
      </c>
      <c r="N23" s="21">
        <f t="shared" ref="N23:Q23" si="9">SUM(N21:N22)</f>
        <v>636815801.43554258</v>
      </c>
      <c r="O23" s="21">
        <f t="shared" si="9"/>
        <v>-467694723.03015667</v>
      </c>
      <c r="P23" s="21">
        <f t="shared" si="9"/>
        <v>0</v>
      </c>
      <c r="Q23" s="21">
        <f t="shared" si="9"/>
        <v>169121078.40538591</v>
      </c>
      <c r="W23" s="1">
        <v>5</v>
      </c>
      <c r="X23" s="2" t="s">
        <v>50</v>
      </c>
      <c r="Y23" s="21">
        <f>SUM(Y19:Y22)</f>
        <v>740185052</v>
      </c>
      <c r="Z23" s="21">
        <f t="shared" ref="Z23:AA23" si="10">SUM(Z19:Z22)</f>
        <v>367966093.61252069</v>
      </c>
      <c r="AA23" s="21">
        <f t="shared" si="10"/>
        <v>372218958.38747931</v>
      </c>
    </row>
    <row r="24" spans="1:30" x14ac:dyDescent="0.2">
      <c r="B24" s="23"/>
      <c r="C24" s="13"/>
      <c r="D24" s="13"/>
      <c r="E24" s="13"/>
      <c r="F24" s="13"/>
      <c r="H24" s="20"/>
      <c r="I24" s="17"/>
      <c r="K24" s="13"/>
      <c r="L24" s="1"/>
      <c r="M24" s="23"/>
    </row>
    <row r="25" spans="1:30" x14ac:dyDescent="0.2">
      <c r="A25" s="1">
        <v>4</v>
      </c>
      <c r="B25" s="2" t="s">
        <v>51</v>
      </c>
      <c r="C25" s="13">
        <f>C73</f>
        <v>42815528.620000005</v>
      </c>
      <c r="D25" s="13">
        <f>D73</f>
        <v>42815547.883037768</v>
      </c>
      <c r="E25" s="13">
        <f>E73</f>
        <v>0</v>
      </c>
      <c r="F25" s="13">
        <v>0</v>
      </c>
      <c r="H25" s="13">
        <f>H73</f>
        <v>42815547.883037768</v>
      </c>
      <c r="I25" s="17">
        <f>IF(D25&lt;&gt;0,C25/D25,0)</f>
        <v>0.99999955009246133</v>
      </c>
      <c r="J25" s="15"/>
      <c r="K25" s="13"/>
      <c r="L25" s="1">
        <v>4</v>
      </c>
      <c r="M25" s="2" t="s">
        <v>51</v>
      </c>
      <c r="N25" s="13">
        <f>H25</f>
        <v>42815547.883037768</v>
      </c>
      <c r="O25" s="18">
        <v>-34269260.353916034</v>
      </c>
      <c r="Q25" s="18">
        <f>SUM(N25:P25)</f>
        <v>8546287.5291217342</v>
      </c>
      <c r="X25" s="2" t="s">
        <v>213</v>
      </c>
    </row>
    <row r="26" spans="1:30" x14ac:dyDescent="0.2">
      <c r="A26" s="1">
        <v>5</v>
      </c>
      <c r="B26" s="2" t="s">
        <v>52</v>
      </c>
      <c r="C26" s="13">
        <f>+C75</f>
        <v>0</v>
      </c>
      <c r="D26" s="13">
        <f>+D75</f>
        <v>0</v>
      </c>
      <c r="E26" s="13">
        <f>+E75</f>
        <v>0</v>
      </c>
      <c r="F26" s="13">
        <f>+F75</f>
        <v>0</v>
      </c>
      <c r="H26" s="13">
        <f>+H75</f>
        <v>0</v>
      </c>
      <c r="I26" s="17">
        <f t="shared" ref="I26:I36" si="11">IF(D26&lt;&gt;0,C26/D26,0)</f>
        <v>0</v>
      </c>
      <c r="K26" s="13"/>
      <c r="L26" s="1"/>
      <c r="N26" s="13"/>
    </row>
    <row r="27" spans="1:30" x14ac:dyDescent="0.2">
      <c r="A27" s="1">
        <v>6</v>
      </c>
      <c r="B27" s="2" t="s">
        <v>53</v>
      </c>
      <c r="C27" s="13">
        <f>+C223</f>
        <v>9171997.7922488302</v>
      </c>
      <c r="D27" s="13">
        <f>+D223</f>
        <v>9172199.8960632775</v>
      </c>
      <c r="E27" s="13">
        <f>+E223</f>
        <v>0</v>
      </c>
      <c r="F27" s="13">
        <v>0</v>
      </c>
      <c r="H27" s="20">
        <f>SUM(D27:F27)</f>
        <v>9172199.8960632775</v>
      </c>
      <c r="I27" s="17">
        <f t="shared" si="11"/>
        <v>0.99997796561165941</v>
      </c>
      <c r="J27" s="15"/>
      <c r="K27" s="13"/>
      <c r="L27" s="1">
        <v>5</v>
      </c>
      <c r="M27" s="2" t="s">
        <v>53</v>
      </c>
      <c r="N27" s="13">
        <f t="shared" ref="N27:N29" si="12">H27</f>
        <v>9172199.8960632775</v>
      </c>
      <c r="Q27" s="18">
        <f>SUM(N27:P27)</f>
        <v>9172199.8960632775</v>
      </c>
    </row>
    <row r="28" spans="1:30" x14ac:dyDescent="0.2">
      <c r="A28" s="1">
        <v>7</v>
      </c>
      <c r="B28" s="2" t="s">
        <v>54</v>
      </c>
      <c r="C28" s="13">
        <f>+C225</f>
        <v>0</v>
      </c>
      <c r="D28" s="13">
        <f>+D225</f>
        <v>0</v>
      </c>
      <c r="E28" s="13">
        <f>+E225</f>
        <v>0</v>
      </c>
      <c r="F28" s="13">
        <v>0</v>
      </c>
      <c r="H28" s="20">
        <f>+C28</f>
        <v>0</v>
      </c>
      <c r="I28" s="17">
        <f t="shared" si="11"/>
        <v>0</v>
      </c>
      <c r="K28" s="13"/>
      <c r="L28" s="1">
        <v>6</v>
      </c>
      <c r="M28" s="2" t="s">
        <v>54</v>
      </c>
      <c r="N28" s="13">
        <f t="shared" si="12"/>
        <v>0</v>
      </c>
      <c r="Q28" s="18">
        <f t="shared" ref="Q28:Q29" si="13">SUM(N28:P28)</f>
        <v>0</v>
      </c>
      <c r="AD28" s="1" t="s">
        <v>55</v>
      </c>
    </row>
    <row r="29" spans="1:30" x14ac:dyDescent="0.2">
      <c r="A29" s="1">
        <v>8</v>
      </c>
      <c r="B29" s="2" t="s">
        <v>56</v>
      </c>
      <c r="C29" s="13">
        <f>C236</f>
        <v>22231035.759315588</v>
      </c>
      <c r="D29" s="13">
        <f>D236</f>
        <v>20039019.906508639</v>
      </c>
      <c r="E29" s="13">
        <f>E236</f>
        <v>0</v>
      </c>
      <c r="F29" s="13">
        <f>C324</f>
        <v>2191540.5204261681</v>
      </c>
      <c r="H29" s="20">
        <f>SUM(D29:F29)</f>
        <v>22230560.426934808</v>
      </c>
      <c r="I29" s="17">
        <f>IF(D29&lt;&gt;0,C29/D29,0)</f>
        <v>1.1093873783764736</v>
      </c>
      <c r="J29" s="15"/>
      <c r="K29" s="13"/>
      <c r="L29" s="1">
        <v>7</v>
      </c>
      <c r="M29" s="2" t="s">
        <v>56</v>
      </c>
      <c r="N29" s="13">
        <f t="shared" si="12"/>
        <v>22230560.426934808</v>
      </c>
      <c r="Q29" s="18">
        <f t="shared" si="13"/>
        <v>22230560.426934808</v>
      </c>
      <c r="Y29" s="8" t="s">
        <v>16</v>
      </c>
      <c r="Z29" s="1" t="s">
        <v>57</v>
      </c>
      <c r="AA29" s="1" t="s">
        <v>57</v>
      </c>
      <c r="AB29" s="1" t="s">
        <v>57</v>
      </c>
      <c r="AC29" s="1" t="s">
        <v>57</v>
      </c>
      <c r="AD29" s="8" t="s">
        <v>58</v>
      </c>
    </row>
    <row r="30" spans="1:30" x14ac:dyDescent="0.2">
      <c r="C30" s="13"/>
      <c r="D30" s="13"/>
      <c r="E30" s="13"/>
      <c r="F30" s="13"/>
      <c r="H30" s="13"/>
      <c r="I30" s="17"/>
      <c r="K30" s="13"/>
      <c r="L30" s="1"/>
      <c r="Y30" s="8" t="s">
        <v>24</v>
      </c>
      <c r="Z30" s="1" t="s">
        <v>36</v>
      </c>
      <c r="AA30" s="1" t="s">
        <v>36</v>
      </c>
      <c r="AB30" s="1" t="s">
        <v>37</v>
      </c>
      <c r="AC30" s="1" t="s">
        <v>37</v>
      </c>
      <c r="AD30" s="8" t="s">
        <v>59</v>
      </c>
    </row>
    <row r="31" spans="1:30" ht="15" x14ac:dyDescent="0.25">
      <c r="B31" s="24" t="s">
        <v>60</v>
      </c>
      <c r="C31" s="25"/>
      <c r="D31" s="25"/>
      <c r="E31" s="25"/>
      <c r="F31" s="25"/>
      <c r="H31" s="20"/>
      <c r="I31" s="17"/>
      <c r="J31" s="26"/>
      <c r="K31" s="13"/>
      <c r="L31" s="1"/>
      <c r="M31" s="24" t="s">
        <v>60</v>
      </c>
      <c r="Y31" s="1" t="s">
        <v>35</v>
      </c>
      <c r="Z31" s="1" t="s">
        <v>61</v>
      </c>
      <c r="AB31" s="1" t="s">
        <v>62</v>
      </c>
      <c r="AD31" s="1" t="s">
        <v>35</v>
      </c>
    </row>
    <row r="32" spans="1:30" x14ac:dyDescent="0.2">
      <c r="A32" s="1">
        <v>9</v>
      </c>
      <c r="B32" s="2" t="s">
        <v>63</v>
      </c>
      <c r="C32" s="13">
        <f>C87</f>
        <v>68909057.952898145</v>
      </c>
      <c r="D32" s="13">
        <f>D87</f>
        <v>87315429.214441314</v>
      </c>
      <c r="E32" s="13">
        <f>E87</f>
        <v>0</v>
      </c>
      <c r="F32" s="20">
        <f>C32-D32-E32</f>
        <v>-18406371.26154317</v>
      </c>
      <c r="H32" s="20">
        <f>SUM(D32:F32)</f>
        <v>68909057.952898145</v>
      </c>
      <c r="I32" s="17">
        <f t="shared" si="11"/>
        <v>0.78919680717209495</v>
      </c>
      <c r="J32" s="13"/>
      <c r="K32" s="13"/>
      <c r="L32" s="1">
        <v>8</v>
      </c>
      <c r="M32" s="2" t="s">
        <v>63</v>
      </c>
      <c r="N32" s="13">
        <f t="shared" ref="N32:N36" si="14">H32</f>
        <v>68909057.952898145</v>
      </c>
      <c r="Q32" s="18">
        <f t="shared" ref="Q32:Q36" si="15">SUM(N32:P32)</f>
        <v>68909057.952898145</v>
      </c>
      <c r="W32" s="1"/>
      <c r="Y32" s="1" t="s">
        <v>40</v>
      </c>
      <c r="Z32" s="1" t="s">
        <v>41</v>
      </c>
      <c r="AA32" s="1" t="s">
        <v>40</v>
      </c>
      <c r="AB32" s="1" t="s">
        <v>41</v>
      </c>
      <c r="AC32" s="1" t="s">
        <v>40</v>
      </c>
      <c r="AD32" s="1" t="s">
        <v>41</v>
      </c>
    </row>
    <row r="33" spans="1:30" x14ac:dyDescent="0.2">
      <c r="A33" s="1">
        <v>10</v>
      </c>
      <c r="B33" s="2" t="s">
        <v>64</v>
      </c>
      <c r="C33" s="13">
        <f>C128</f>
        <v>1717948.9398972169</v>
      </c>
      <c r="D33" s="13">
        <f>D128</f>
        <v>10404401.507694557</v>
      </c>
      <c r="E33" s="13">
        <f>E128</f>
        <v>0</v>
      </c>
      <c r="F33" s="20">
        <f>C33-D33-E33</f>
        <v>-8686452.5677973405</v>
      </c>
      <c r="H33" s="20">
        <f>SUM(D33:F33)</f>
        <v>1717948.9398972169</v>
      </c>
      <c r="I33" s="17">
        <f t="shared" si="11"/>
        <v>0.16511751671893002</v>
      </c>
      <c r="J33" s="13"/>
      <c r="K33" s="13"/>
      <c r="L33" s="1">
        <v>9</v>
      </c>
      <c r="M33" s="2" t="s">
        <v>64</v>
      </c>
      <c r="N33" s="13">
        <f t="shared" si="14"/>
        <v>1717948.9398972169</v>
      </c>
      <c r="Q33" s="18">
        <f t="shared" si="15"/>
        <v>1717948.9398972169</v>
      </c>
      <c r="W33" s="1"/>
      <c r="X33" s="16" t="s">
        <v>8</v>
      </c>
    </row>
    <row r="34" spans="1:30" ht="16.5" x14ac:dyDescent="0.3">
      <c r="A34" s="1">
        <v>11</v>
      </c>
      <c r="B34" s="2" t="s">
        <v>65</v>
      </c>
      <c r="C34" s="13">
        <f>C166</f>
        <v>11969343.183470888</v>
      </c>
      <c r="D34" s="13">
        <f>D166</f>
        <v>44165488.189015225</v>
      </c>
      <c r="E34" s="13">
        <f>E166</f>
        <v>0</v>
      </c>
      <c r="F34" s="20">
        <f>C34-D34-E34</f>
        <v>-32196145.005544335</v>
      </c>
      <c r="H34" s="20">
        <f>SUM(D34:F34)</f>
        <v>11969343.18347089</v>
      </c>
      <c r="I34" s="17">
        <f t="shared" si="11"/>
        <v>0.27101122786746157</v>
      </c>
      <c r="J34" s="13"/>
      <c r="K34" s="13"/>
      <c r="L34" s="1">
        <v>10</v>
      </c>
      <c r="M34" s="2" t="s">
        <v>65</v>
      </c>
      <c r="N34" s="13">
        <f t="shared" si="14"/>
        <v>11969343.18347089</v>
      </c>
      <c r="Q34" s="18">
        <f t="shared" si="15"/>
        <v>11969343.18347089</v>
      </c>
      <c r="W34" s="1">
        <v>1</v>
      </c>
      <c r="X34" s="2" t="s">
        <v>44</v>
      </c>
      <c r="Y34" s="14">
        <f>SUM(AA34,AC34)</f>
        <v>642307199.01942611</v>
      </c>
      <c r="Z34" s="27">
        <v>0.88738604118773867</v>
      </c>
      <c r="AA34" s="14">
        <f>AA$44*Z34</f>
        <v>326527975.10213161</v>
      </c>
      <c r="AB34" s="27">
        <v>0.8483695330439589</v>
      </c>
      <c r="AC34" s="14">
        <f>AC$44*AB34</f>
        <v>315779223.91729456</v>
      </c>
      <c r="AD34" s="27">
        <f>Y34/Y$44</f>
        <v>0.8677656989747291</v>
      </c>
    </row>
    <row r="35" spans="1:30" ht="16.5" x14ac:dyDescent="0.3">
      <c r="A35" s="1">
        <v>12</v>
      </c>
      <c r="B35" s="2" t="s">
        <v>66</v>
      </c>
      <c r="C35" s="13">
        <f>C198</f>
        <v>4077136.5066004382</v>
      </c>
      <c r="D35" s="13">
        <f>D198</f>
        <v>9758495.865111161</v>
      </c>
      <c r="E35" s="13">
        <f>E198</f>
        <v>0</v>
      </c>
      <c r="F35" s="20">
        <f>C35-D35-E35</f>
        <v>-5681359.3585107233</v>
      </c>
      <c r="H35" s="28">
        <f>SUM(D35:F35)</f>
        <v>4077136.5066004377</v>
      </c>
      <c r="I35" s="17">
        <f t="shared" si="11"/>
        <v>0.41780378482068403</v>
      </c>
      <c r="J35" s="13"/>
      <c r="K35" s="13"/>
      <c r="L35" s="1">
        <v>11</v>
      </c>
      <c r="M35" s="2" t="s">
        <v>66</v>
      </c>
      <c r="N35" s="13">
        <f t="shared" si="14"/>
        <v>4077136.5066004377</v>
      </c>
      <c r="Q35" s="18">
        <f t="shared" si="15"/>
        <v>4077136.5066004377</v>
      </c>
      <c r="W35" s="1">
        <v>2</v>
      </c>
      <c r="X35" s="19" t="s">
        <v>47</v>
      </c>
      <c r="Y35" s="14">
        <f>SUM(AA35,AC35)</f>
        <v>47345155.223936856</v>
      </c>
      <c r="Z35" s="27">
        <v>6.2801465870849699E-2</v>
      </c>
      <c r="AA35" s="14">
        <f>AA$44*Z35</f>
        <v>23108810.069636602</v>
      </c>
      <c r="AB35" s="27">
        <v>6.5113140016555132E-2</v>
      </c>
      <c r="AC35" s="14">
        <f>AC$44*AB35</f>
        <v>24236345.15430025</v>
      </c>
      <c r="AD35" s="27">
        <f>Y35/Y$44</f>
        <v>6.3963944011040177E-2</v>
      </c>
    </row>
    <row r="36" spans="1:30" x14ac:dyDescent="0.2">
      <c r="A36" s="1">
        <v>13</v>
      </c>
      <c r="B36" s="2" t="s">
        <v>67</v>
      </c>
      <c r="C36" s="13">
        <v>0</v>
      </c>
      <c r="D36" s="13">
        <v>0</v>
      </c>
      <c r="E36" s="13">
        <f>-E225</f>
        <v>0</v>
      </c>
      <c r="F36" s="20">
        <f>C36-D36-E36</f>
        <v>0</v>
      </c>
      <c r="H36" s="28">
        <f>SUM(D36:F36)</f>
        <v>0</v>
      </c>
      <c r="I36" s="17">
        <f t="shared" si="11"/>
        <v>0</v>
      </c>
      <c r="J36" s="13"/>
      <c r="K36" s="13"/>
      <c r="L36" s="1">
        <v>12</v>
      </c>
      <c r="M36" s="2" t="s">
        <v>67</v>
      </c>
      <c r="N36" s="13">
        <f t="shared" si="14"/>
        <v>0</v>
      </c>
      <c r="Q36" s="18">
        <f t="shared" si="15"/>
        <v>0</v>
      </c>
      <c r="W36" s="1">
        <v>3</v>
      </c>
      <c r="X36" s="19" t="s">
        <v>49</v>
      </c>
      <c r="Y36" s="21">
        <f t="shared" ref="Y36:AD36" si="16">SUM(Y34:Y35)</f>
        <v>689652354.2433629</v>
      </c>
      <c r="Z36" s="29">
        <f t="shared" si="16"/>
        <v>0.95018750705858834</v>
      </c>
      <c r="AA36" s="21">
        <f t="shared" si="16"/>
        <v>349636785.17176819</v>
      </c>
      <c r="AB36" s="29">
        <f t="shared" si="16"/>
        <v>0.91348267306051401</v>
      </c>
      <c r="AC36" s="21">
        <f t="shared" si="16"/>
        <v>340015569.07159483</v>
      </c>
      <c r="AD36" s="29">
        <f t="shared" si="16"/>
        <v>0.93172964298576932</v>
      </c>
    </row>
    <row r="37" spans="1:30" x14ac:dyDescent="0.2">
      <c r="C37" s="13"/>
      <c r="D37" s="13"/>
      <c r="E37" s="13"/>
      <c r="F37" s="28"/>
      <c r="H37" s="28"/>
      <c r="I37" s="30"/>
      <c r="J37" s="17"/>
      <c r="K37" s="13"/>
      <c r="L37" s="1"/>
      <c r="W37" s="1"/>
      <c r="X37" s="23"/>
      <c r="Z37" s="1"/>
      <c r="AB37" s="1"/>
    </row>
    <row r="38" spans="1:30" ht="16.5" x14ac:dyDescent="0.3">
      <c r="A38" s="1">
        <v>14</v>
      </c>
      <c r="B38" s="16" t="s">
        <v>68</v>
      </c>
      <c r="C38" s="31">
        <f t="shared" ref="C38:H38" si="17">SUM(C32:C36)</f>
        <v>86673486.582866684</v>
      </c>
      <c r="D38" s="31">
        <f t="shared" si="17"/>
        <v>151643814.77626228</v>
      </c>
      <c r="E38" s="31">
        <f t="shared" si="17"/>
        <v>0</v>
      </c>
      <c r="F38" s="31">
        <f t="shared" si="17"/>
        <v>-64970328.19339557</v>
      </c>
      <c r="G38" s="31">
        <f t="shared" si="17"/>
        <v>0</v>
      </c>
      <c r="H38" s="31">
        <f t="shared" si="17"/>
        <v>86673486.582866684</v>
      </c>
      <c r="I38" s="32">
        <f>IF(D38&lt;&gt;0,C38/D38,0)</f>
        <v>0.57155965583394308</v>
      </c>
      <c r="J38" s="15"/>
      <c r="K38" s="13"/>
      <c r="L38" s="1">
        <v>13</v>
      </c>
      <c r="M38" s="16" t="s">
        <v>68</v>
      </c>
      <c r="N38" s="31">
        <f t="shared" ref="N38:Q38" si="18">SUM(N32:N36)</f>
        <v>86673486.582866684</v>
      </c>
      <c r="O38" s="31">
        <f t="shared" si="18"/>
        <v>0</v>
      </c>
      <c r="P38" s="31">
        <f t="shared" si="18"/>
        <v>0</v>
      </c>
      <c r="Q38" s="31">
        <f t="shared" si="18"/>
        <v>86673486.582866684</v>
      </c>
      <c r="W38" s="1">
        <v>4</v>
      </c>
      <c r="X38" s="2" t="s">
        <v>51</v>
      </c>
      <c r="Y38" s="14">
        <f>SUM(AA38,AC38)</f>
        <v>50532697.756636947</v>
      </c>
      <c r="Z38" s="27">
        <v>4.9812492941411594E-2</v>
      </c>
      <c r="AA38" s="14">
        <f>AA$44*Z38</f>
        <v>18329308.440752484</v>
      </c>
      <c r="AB38" s="27">
        <v>8.6517326939485953E-2</v>
      </c>
      <c r="AC38" s="14">
        <f>AC$44*AB38</f>
        <v>32203389.315884463</v>
      </c>
      <c r="AD38" s="27">
        <f>Y38/Y$44</f>
        <v>6.8270357014230759E-2</v>
      </c>
    </row>
    <row r="39" spans="1:30" x14ac:dyDescent="0.2">
      <c r="C39" s="20"/>
      <c r="D39" s="20"/>
      <c r="E39" s="20"/>
      <c r="F39" s="20"/>
      <c r="H39" s="20"/>
      <c r="I39" s="33"/>
      <c r="K39" s="13"/>
      <c r="L39" s="1"/>
      <c r="W39" s="1"/>
      <c r="AD39" s="13"/>
    </row>
    <row r="40" spans="1:30" ht="13.5" thickBot="1" x14ac:dyDescent="0.25">
      <c r="A40" s="1">
        <v>15</v>
      </c>
      <c r="B40" s="16" t="s">
        <v>69</v>
      </c>
      <c r="C40" s="34">
        <f t="shared" ref="C40:H40" si="19">SUM(C23:C29,C38)</f>
        <v>797703766.03443098</v>
      </c>
      <c r="D40" s="34">
        <f t="shared" si="19"/>
        <v>797707596.22444534</v>
      </c>
      <c r="E40" s="34">
        <f t="shared" si="19"/>
        <v>0</v>
      </c>
      <c r="F40" s="34">
        <f t="shared" si="19"/>
        <v>0</v>
      </c>
      <c r="G40" s="34">
        <f t="shared" si="19"/>
        <v>0</v>
      </c>
      <c r="H40" s="34">
        <f t="shared" si="19"/>
        <v>797707596.22444522</v>
      </c>
      <c r="I40" s="35">
        <f>IF(D40&lt;&gt;0,C40/D40,0)</f>
        <v>0.99999519850377194</v>
      </c>
      <c r="J40" s="15"/>
      <c r="K40" s="13"/>
      <c r="L40" s="1">
        <v>14</v>
      </c>
      <c r="M40" s="16" t="s">
        <v>69</v>
      </c>
      <c r="N40" s="34">
        <f t="shared" ref="N40:Q40" si="20">SUM(N23:N29,N38)</f>
        <v>797707596.22444522</v>
      </c>
      <c r="O40" s="34">
        <f t="shared" si="20"/>
        <v>-501963983.38407272</v>
      </c>
      <c r="P40" s="34">
        <f t="shared" si="20"/>
        <v>0</v>
      </c>
      <c r="Q40" s="34">
        <f t="shared" si="20"/>
        <v>295743612.84037238</v>
      </c>
      <c r="W40" s="1">
        <v>5</v>
      </c>
      <c r="X40" s="2" t="s">
        <v>53</v>
      </c>
      <c r="AD40" s="13"/>
    </row>
    <row r="41" spans="1:30" ht="13.5" thickTop="1" x14ac:dyDescent="0.2">
      <c r="C41" s="36"/>
      <c r="D41" s="13"/>
      <c r="H41" s="13"/>
      <c r="I41" s="17"/>
      <c r="L41" s="1"/>
      <c r="W41" s="1">
        <v>6</v>
      </c>
      <c r="X41" s="2" t="s">
        <v>54</v>
      </c>
      <c r="AD41" s="13"/>
    </row>
    <row r="42" spans="1:30" ht="14.25" x14ac:dyDescent="0.2">
      <c r="A42" s="37"/>
      <c r="B42" s="33"/>
      <c r="C42" s="36"/>
      <c r="D42" s="36"/>
      <c r="H42" s="13"/>
      <c r="I42" s="17"/>
      <c r="L42" s="37">
        <v>1</v>
      </c>
      <c r="M42" s="2" t="str">
        <f>"The $"&amp;TEXT(ABS(O22),"0,000")&amp;" represents the Island Interconnected Rural rate mitigation allocation."</f>
        <v>The $32,107,596 represents the Island Interconnected Rural rate mitigation allocation.</v>
      </c>
      <c r="W42" s="1">
        <v>7</v>
      </c>
      <c r="X42" s="2" t="s">
        <v>56</v>
      </c>
      <c r="AD42" s="13"/>
    </row>
    <row r="43" spans="1:30" x14ac:dyDescent="0.2">
      <c r="B43" s="19"/>
      <c r="C43" s="38"/>
      <c r="D43" s="38"/>
      <c r="E43" s="39"/>
      <c r="H43" s="13"/>
      <c r="W43" s="1"/>
    </row>
    <row r="44" spans="1:30" ht="13.5" thickBot="1" x14ac:dyDescent="0.25">
      <c r="C44" s="13"/>
      <c r="D44" s="13"/>
      <c r="E44" s="38"/>
      <c r="H44" s="13"/>
      <c r="W44" s="1">
        <v>8</v>
      </c>
      <c r="X44" s="16" t="s">
        <v>69</v>
      </c>
      <c r="Y44" s="34">
        <f>SUM(Y36:Y38)</f>
        <v>740185051.99999988</v>
      </c>
      <c r="Z44" s="40">
        <f>SUM(Z36:Z42)</f>
        <v>0.99999999999999989</v>
      </c>
      <c r="AA44" s="34">
        <f>Z23</f>
        <v>367966093.61252069</v>
      </c>
      <c r="AB44" s="40">
        <f>SUM(AB36:AB42)</f>
        <v>1</v>
      </c>
      <c r="AC44" s="34">
        <f>AA23</f>
        <v>372218958.38747931</v>
      </c>
      <c r="AD44" s="40">
        <f>SUM(AD36:AD42)</f>
        <v>1</v>
      </c>
    </row>
    <row r="45" spans="1:30" ht="13.5" thickTop="1" x14ac:dyDescent="0.2">
      <c r="B45" s="41"/>
      <c r="C45" s="13"/>
      <c r="W45" s="1"/>
      <c r="AD45" s="13"/>
    </row>
    <row r="46" spans="1:30" x14ac:dyDescent="0.2">
      <c r="B46" s="41"/>
      <c r="D46" s="17"/>
      <c r="F46" s="17"/>
      <c r="H46" s="17"/>
      <c r="K46" s="17"/>
      <c r="W46" s="1"/>
    </row>
    <row r="47" spans="1:30" x14ac:dyDescent="0.2">
      <c r="D47" s="17"/>
      <c r="F47" s="17"/>
      <c r="K47" s="17"/>
      <c r="W47" s="1"/>
      <c r="X47" s="16"/>
    </row>
    <row r="48" spans="1:30" ht="20.25" customHeight="1" x14ac:dyDescent="0.2">
      <c r="D48" s="17"/>
      <c r="I48" s="4" t="s">
        <v>207</v>
      </c>
      <c r="W48" s="1"/>
    </row>
    <row r="49" spans="1:23" x14ac:dyDescent="0.2">
      <c r="I49" s="4" t="s">
        <v>70</v>
      </c>
    </row>
    <row r="50" spans="1:23" x14ac:dyDescent="0.2">
      <c r="I50" s="5"/>
      <c r="R50" s="1"/>
      <c r="W50" s="1"/>
    </row>
    <row r="51" spans="1:23" ht="14.25" x14ac:dyDescent="0.2">
      <c r="W51" s="37"/>
    </row>
    <row r="52" spans="1:23" x14ac:dyDescent="0.2">
      <c r="A52" s="6" t="str">
        <f>+A6</f>
        <v>NEWFOUNDLAND AND LABRADOR HYDRO</v>
      </c>
      <c r="B52" s="6"/>
      <c r="C52" s="6"/>
      <c r="D52" s="6"/>
      <c r="E52" s="6"/>
      <c r="F52" s="6"/>
      <c r="G52" s="6"/>
      <c r="H52" s="6"/>
      <c r="I52" s="6"/>
    </row>
    <row r="53" spans="1:23" x14ac:dyDescent="0.2">
      <c r="A53" s="6" t="str">
        <f>RunName</f>
        <v>2027 Test Year Cost of Service Study</v>
      </c>
      <c r="B53" s="6"/>
      <c r="C53" s="6"/>
      <c r="D53" s="6"/>
      <c r="E53" s="6"/>
      <c r="F53" s="6"/>
      <c r="G53" s="6"/>
      <c r="H53" s="6"/>
      <c r="I53" s="6"/>
    </row>
    <row r="54" spans="1:23" x14ac:dyDescent="0.2">
      <c r="A54" s="6" t="s">
        <v>63</v>
      </c>
      <c r="B54" s="6"/>
      <c r="C54" s="6"/>
      <c r="D54" s="6"/>
      <c r="E54" s="6"/>
      <c r="F54" s="6"/>
      <c r="G54" s="6"/>
      <c r="H54" s="6"/>
      <c r="I54" s="6"/>
    </row>
    <row r="55" spans="1:23" x14ac:dyDescent="0.2">
      <c r="A55" s="6" t="s">
        <v>9</v>
      </c>
      <c r="B55" s="6"/>
      <c r="C55" s="6"/>
      <c r="D55" s="6"/>
      <c r="E55" s="6"/>
      <c r="F55" s="6"/>
      <c r="G55" s="6"/>
      <c r="H55" s="6"/>
      <c r="I55" s="6"/>
    </row>
    <row r="56" spans="1:23" x14ac:dyDescent="0.2">
      <c r="B56" s="42"/>
      <c r="C56" s="42"/>
      <c r="D56" s="42"/>
      <c r="E56" s="42"/>
      <c r="F56" s="42"/>
      <c r="H56" s="42"/>
      <c r="I56" s="42"/>
    </row>
    <row r="57" spans="1:23" x14ac:dyDescent="0.2">
      <c r="B57" s="1">
        <f t="shared" ref="B57:I57" si="21">MAX(A57)+NoOne</f>
        <v>1</v>
      </c>
      <c r="C57" s="1">
        <f t="shared" si="21"/>
        <v>2</v>
      </c>
      <c r="D57" s="1">
        <f t="shared" si="21"/>
        <v>3</v>
      </c>
      <c r="E57" s="1">
        <f t="shared" si="21"/>
        <v>4</v>
      </c>
      <c r="F57" s="1">
        <f t="shared" si="21"/>
        <v>5</v>
      </c>
      <c r="G57" s="1">
        <f t="shared" si="21"/>
        <v>6</v>
      </c>
      <c r="H57" s="1">
        <v>6</v>
      </c>
      <c r="I57" s="1">
        <f t="shared" si="21"/>
        <v>7</v>
      </c>
    </row>
    <row r="58" spans="1:23" x14ac:dyDescent="0.2">
      <c r="E58" s="1"/>
      <c r="G58" s="1"/>
      <c r="H58" s="1"/>
      <c r="I58" s="1"/>
    </row>
    <row r="59" spans="1:23" s="1" customFormat="1" x14ac:dyDescent="0.2">
      <c r="D59" s="8" t="s">
        <v>12</v>
      </c>
      <c r="G59" s="2"/>
      <c r="H59" s="8" t="s">
        <v>13</v>
      </c>
      <c r="I59" s="1" t="s">
        <v>14</v>
      </c>
    </row>
    <row r="60" spans="1:23" s="1" customFormat="1" x14ac:dyDescent="0.2">
      <c r="A60" s="1" t="s">
        <v>17</v>
      </c>
      <c r="D60" s="1" t="s">
        <v>18</v>
      </c>
      <c r="E60" s="1" t="s">
        <v>14</v>
      </c>
      <c r="F60" s="1" t="s">
        <v>30</v>
      </c>
      <c r="G60" s="8" t="s">
        <v>19</v>
      </c>
      <c r="H60" s="8" t="s">
        <v>20</v>
      </c>
      <c r="I60" s="1" t="s">
        <v>21</v>
      </c>
    </row>
    <row r="61" spans="1:23" x14ac:dyDescent="0.2">
      <c r="A61" s="1" t="s">
        <v>25</v>
      </c>
      <c r="B61" s="1" t="s">
        <v>26</v>
      </c>
      <c r="C61" s="1" t="s">
        <v>27</v>
      </c>
      <c r="D61" s="1" t="s">
        <v>28</v>
      </c>
      <c r="E61" s="1" t="s">
        <v>71</v>
      </c>
      <c r="F61" s="1" t="s">
        <v>72</v>
      </c>
      <c r="G61" s="1" t="s">
        <v>31</v>
      </c>
      <c r="H61" s="1" t="s">
        <v>28</v>
      </c>
      <c r="I61" s="1" t="s">
        <v>32</v>
      </c>
    </row>
    <row r="62" spans="1:23" x14ac:dyDescent="0.2">
      <c r="B62" s="1"/>
      <c r="C62" s="1"/>
      <c r="D62" s="1"/>
      <c r="E62" s="1"/>
      <c r="F62" s="1"/>
      <c r="H62" s="11" t="s">
        <v>38</v>
      </c>
      <c r="I62" s="1" t="s">
        <v>39</v>
      </c>
    </row>
    <row r="63" spans="1:23" x14ac:dyDescent="0.2">
      <c r="B63" s="1"/>
      <c r="C63" s="1" t="s">
        <v>40</v>
      </c>
      <c r="D63" s="1" t="s">
        <v>40</v>
      </c>
      <c r="E63" s="1" t="s">
        <v>40</v>
      </c>
      <c r="F63" s="1" t="s">
        <v>40</v>
      </c>
      <c r="G63" s="1" t="s">
        <v>40</v>
      </c>
      <c r="H63" s="1" t="s">
        <v>40</v>
      </c>
      <c r="I63" s="1"/>
    </row>
    <row r="64" spans="1:23" x14ac:dyDescent="0.2">
      <c r="H64" s="13"/>
    </row>
    <row r="65" spans="1:18" x14ac:dyDescent="0.2">
      <c r="B65" s="16" t="s">
        <v>63</v>
      </c>
      <c r="H65" s="13"/>
    </row>
    <row r="66" spans="1:18" x14ac:dyDescent="0.2">
      <c r="A66" s="1">
        <v>1</v>
      </c>
      <c r="B66" s="23" t="s">
        <v>44</v>
      </c>
      <c r="C66" s="13">
        <v>636811717.27999985</v>
      </c>
      <c r="D66" s="13">
        <v>574037013.76257324</v>
      </c>
      <c r="E66" s="13">
        <f>(D66/($D$66+$D$70+$D$87))*-$E$95</f>
        <v>0</v>
      </c>
      <c r="F66" s="13">
        <f>+C320-D273</f>
        <v>62778787.672969401</v>
      </c>
      <c r="G66" s="13">
        <f>-G67</f>
        <v>0</v>
      </c>
      <c r="H66" s="13">
        <f>SUM(D66:G66)</f>
        <v>636815801.43554258</v>
      </c>
      <c r="I66" s="43"/>
      <c r="J66" s="15"/>
    </row>
    <row r="67" spans="1:18" ht="15" x14ac:dyDescent="0.25">
      <c r="A67" s="1">
        <v>2</v>
      </c>
      <c r="B67" s="2" t="s">
        <v>73</v>
      </c>
      <c r="C67" s="44">
        <v>0</v>
      </c>
      <c r="D67" s="45"/>
      <c r="E67" s="45"/>
      <c r="F67" s="45"/>
      <c r="G67" s="13"/>
      <c r="H67" s="45">
        <f>SUM(D67:G67)</f>
        <v>0</v>
      </c>
      <c r="I67" s="46"/>
    </row>
    <row r="68" spans="1:18" ht="20.25" customHeight="1" x14ac:dyDescent="0.2">
      <c r="A68" s="1">
        <v>3</v>
      </c>
      <c r="B68" s="24" t="s">
        <v>49</v>
      </c>
      <c r="C68" s="21">
        <f t="shared" ref="C68:H68" si="22">SUM(C66:C67)</f>
        <v>636811717.27999985</v>
      </c>
      <c r="D68" s="21">
        <f t="shared" si="22"/>
        <v>574037013.76257324</v>
      </c>
      <c r="E68" s="21">
        <f t="shared" si="22"/>
        <v>0</v>
      </c>
      <c r="F68" s="21">
        <f t="shared" si="22"/>
        <v>62778787.672969401</v>
      </c>
      <c r="G68" s="21">
        <f t="shared" si="22"/>
        <v>0</v>
      </c>
      <c r="H68" s="21">
        <f t="shared" si="22"/>
        <v>636815801.43554258</v>
      </c>
      <c r="I68" s="22">
        <f>IF(D68&lt;&gt;0,C68/D68,0)</f>
        <v>1.1093565432409396</v>
      </c>
    </row>
    <row r="69" spans="1:18" ht="20.25" customHeight="1" x14ac:dyDescent="0.2">
      <c r="B69" s="16"/>
      <c r="C69" s="47"/>
      <c r="D69" s="47"/>
      <c r="E69" s="47"/>
      <c r="F69" s="47"/>
      <c r="H69" s="47"/>
      <c r="I69" s="48"/>
    </row>
    <row r="70" spans="1:18" x14ac:dyDescent="0.2">
      <c r="A70" s="1">
        <v>4</v>
      </c>
      <c r="B70" s="2" t="s">
        <v>74</v>
      </c>
      <c r="C70" s="13">
        <v>42815528.620000005</v>
      </c>
      <c r="D70" s="13">
        <v>42815547.883037768</v>
      </c>
      <c r="E70" s="13">
        <f>(D70/($D$66+$D$70+$D$87))*-$E$95</f>
        <v>0</v>
      </c>
      <c r="F70" s="13"/>
      <c r="H70" s="13">
        <f>SUM(D70:F70)</f>
        <v>42815547.883037768</v>
      </c>
      <c r="I70" s="43"/>
      <c r="J70" s="15"/>
    </row>
    <row r="71" spans="1:18" x14ac:dyDescent="0.2">
      <c r="A71" s="1">
        <v>5</v>
      </c>
      <c r="B71" s="2" t="s">
        <v>75</v>
      </c>
      <c r="C71" s="13">
        <v>0</v>
      </c>
      <c r="D71" s="13">
        <v>0</v>
      </c>
      <c r="E71" s="13">
        <f>+E95</f>
        <v>0</v>
      </c>
      <c r="F71" s="13"/>
      <c r="H71" s="13">
        <f>+C71</f>
        <v>0</v>
      </c>
      <c r="I71" s="43"/>
    </row>
    <row r="72" spans="1:18" ht="15" x14ac:dyDescent="0.25">
      <c r="A72" s="1">
        <v>6</v>
      </c>
      <c r="B72" s="2" t="s">
        <v>76</v>
      </c>
      <c r="C72" s="44">
        <v>0</v>
      </c>
      <c r="D72" s="13"/>
      <c r="E72" s="13"/>
      <c r="F72" s="13"/>
      <c r="H72" s="13">
        <f>SUM(D72:F72)</f>
        <v>0</v>
      </c>
      <c r="I72" s="43"/>
    </row>
    <row r="73" spans="1:18" x14ac:dyDescent="0.2">
      <c r="A73" s="1">
        <v>7</v>
      </c>
      <c r="B73" s="24" t="s">
        <v>77</v>
      </c>
      <c r="C73" s="21">
        <f>SUM(C70:C72)</f>
        <v>42815528.620000005</v>
      </c>
      <c r="D73" s="21">
        <f>SUM(D70:D72)</f>
        <v>42815547.883037768</v>
      </c>
      <c r="E73" s="21">
        <f>SUM(E70:E72)</f>
        <v>0</v>
      </c>
      <c r="F73" s="21">
        <f>SUM(F70:F72)</f>
        <v>0</v>
      </c>
      <c r="G73" s="21"/>
      <c r="H73" s="21">
        <f>SUM(H70:H72)</f>
        <v>42815547.883037768</v>
      </c>
      <c r="I73" s="22">
        <f>IF(D73&lt;&gt;0,C73/D73,0)</f>
        <v>0.99999955009246133</v>
      </c>
    </row>
    <row r="74" spans="1:18" x14ac:dyDescent="0.2">
      <c r="B74" s="16"/>
      <c r="C74" s="47"/>
      <c r="D74" s="47"/>
      <c r="E74" s="47"/>
      <c r="F74" s="47"/>
      <c r="G74" s="47"/>
      <c r="H74" s="47"/>
      <c r="I74" s="48"/>
    </row>
    <row r="75" spans="1:18" ht="15" x14ac:dyDescent="0.25">
      <c r="A75" s="1">
        <v>8</v>
      </c>
      <c r="B75" s="16" t="s">
        <v>52</v>
      </c>
      <c r="C75" s="49">
        <v>0</v>
      </c>
      <c r="D75" s="50"/>
      <c r="E75" s="50"/>
      <c r="F75" s="50"/>
      <c r="G75" s="50"/>
      <c r="H75" s="50"/>
      <c r="I75" s="51"/>
    </row>
    <row r="76" spans="1:18" x14ac:dyDescent="0.2">
      <c r="B76" s="16"/>
      <c r="C76" s="47"/>
      <c r="D76" s="47"/>
      <c r="E76" s="47"/>
      <c r="F76" s="47"/>
      <c r="H76" s="47"/>
      <c r="I76" s="48"/>
    </row>
    <row r="77" spans="1:18" x14ac:dyDescent="0.2">
      <c r="B77" s="16" t="s">
        <v>78</v>
      </c>
      <c r="C77" s="13"/>
      <c r="D77" s="13"/>
      <c r="E77" s="13"/>
      <c r="F77" s="13"/>
      <c r="H77" s="13"/>
    </row>
    <row r="78" spans="1:18" ht="15" x14ac:dyDescent="0.25">
      <c r="A78" s="1">
        <f t="shared" ref="A78" si="23">MAX(A75:A77)+NoOne</f>
        <v>9</v>
      </c>
      <c r="B78" s="2" t="s">
        <v>79</v>
      </c>
      <c r="C78" s="52">
        <v>18788947.558794092</v>
      </c>
      <c r="D78" s="14">
        <v>28157866.627418503</v>
      </c>
      <c r="E78" s="14">
        <f t="shared" ref="E78:E85" si="24">(D78/($D$66+$D$70+$D$87))*-$E$95</f>
        <v>0</v>
      </c>
      <c r="F78" s="14">
        <f>C78-D78-E78</f>
        <v>-9368919.0686244108</v>
      </c>
      <c r="G78" s="14"/>
      <c r="H78" s="14">
        <f t="shared" ref="H78:H85" si="25">SUM(D78:F78)</f>
        <v>18788947.558794092</v>
      </c>
      <c r="I78" s="53">
        <f>IF(D78&lt;&gt;0,C78/D78,0)</f>
        <v>0.66727170092135113</v>
      </c>
      <c r="K78" s="2" t="s">
        <v>80</v>
      </c>
      <c r="R78" s="1"/>
    </row>
    <row r="79" spans="1:18" ht="15" x14ac:dyDescent="0.25">
      <c r="A79" s="1">
        <f t="shared" ref="A79" si="26">MAX(A76:A78)+NoOne</f>
        <v>10</v>
      </c>
      <c r="B79" s="2" t="s">
        <v>81</v>
      </c>
      <c r="C79" s="52">
        <v>23929645.322584182</v>
      </c>
      <c r="D79" s="14">
        <v>31353542.569406476</v>
      </c>
      <c r="E79" s="14">
        <f t="shared" si="24"/>
        <v>0</v>
      </c>
      <c r="F79" s="14">
        <f t="shared" ref="F79:F85" si="27">C79-D79-E79</f>
        <v>-7423897.2468222938</v>
      </c>
      <c r="G79" s="14"/>
      <c r="H79" s="14">
        <f t="shared" si="25"/>
        <v>23929645.322584182</v>
      </c>
      <c r="I79" s="53">
        <f t="shared" ref="I79:I85" si="28">IF(D79&lt;&gt;0,C79/D79,0)</f>
        <v>0.76321982658297016</v>
      </c>
      <c r="K79" s="2" t="s">
        <v>82</v>
      </c>
    </row>
    <row r="80" spans="1:18" ht="15" x14ac:dyDescent="0.25">
      <c r="A80" s="1">
        <f t="shared" ref="A80" si="29">MAX(A77:A79)+NoOne</f>
        <v>11</v>
      </c>
      <c r="B80" s="2" t="s">
        <v>83</v>
      </c>
      <c r="C80" s="52">
        <v>21703.949999999997</v>
      </c>
      <c r="D80" s="14">
        <v>86780.054105246702</v>
      </c>
      <c r="E80" s="14">
        <f t="shared" si="24"/>
        <v>0</v>
      </c>
      <c r="F80" s="14">
        <f t="shared" si="27"/>
        <v>-65076.104105246704</v>
      </c>
      <c r="G80" s="14"/>
      <c r="H80" s="14">
        <f t="shared" si="25"/>
        <v>21703.949999999997</v>
      </c>
      <c r="I80" s="53">
        <f t="shared" si="28"/>
        <v>0.25010297842955342</v>
      </c>
      <c r="K80" s="2" t="s">
        <v>84</v>
      </c>
    </row>
    <row r="81" spans="1:11" ht="15" x14ac:dyDescent="0.25">
      <c r="A81" s="1">
        <f t="shared" ref="A81" si="30">MAX(A78:A80)+NoOne</f>
        <v>12</v>
      </c>
      <c r="B81" s="2" t="s">
        <v>85</v>
      </c>
      <c r="C81" s="52">
        <v>12084583.400972759</v>
      </c>
      <c r="D81" s="14">
        <v>13595526.704859242</v>
      </c>
      <c r="E81" s="14">
        <f t="shared" si="24"/>
        <v>0</v>
      </c>
      <c r="F81" s="14">
        <f t="shared" si="27"/>
        <v>-1510943.3038864825</v>
      </c>
      <c r="G81" s="14"/>
      <c r="H81" s="14">
        <f t="shared" si="25"/>
        <v>12084583.400972759</v>
      </c>
      <c r="I81" s="53">
        <f t="shared" si="28"/>
        <v>0.88886467316147089</v>
      </c>
      <c r="K81" s="2" t="s">
        <v>86</v>
      </c>
    </row>
    <row r="82" spans="1:11" ht="14.45" hidden="1" customHeight="1" x14ac:dyDescent="0.25">
      <c r="A82" s="1">
        <f t="shared" ref="A82" si="31">MAX(A79:A81)+NoOne</f>
        <v>13</v>
      </c>
      <c r="B82" s="2" t="s">
        <v>87</v>
      </c>
      <c r="C82" s="52">
        <v>0</v>
      </c>
      <c r="D82" s="14">
        <v>0</v>
      </c>
      <c r="E82" s="14">
        <f t="shared" si="24"/>
        <v>0</v>
      </c>
      <c r="F82" s="14">
        <f t="shared" si="27"/>
        <v>0</v>
      </c>
      <c r="G82" s="14"/>
      <c r="H82" s="14">
        <f t="shared" si="25"/>
        <v>0</v>
      </c>
      <c r="I82" s="53">
        <f t="shared" si="28"/>
        <v>0</v>
      </c>
      <c r="K82" s="2" t="s">
        <v>88</v>
      </c>
    </row>
    <row r="83" spans="1:11" ht="15" x14ac:dyDescent="0.25">
      <c r="A83" s="1">
        <v>13</v>
      </c>
      <c r="B83" s="2" t="s">
        <v>89</v>
      </c>
      <c r="C83" s="52">
        <v>7645700.2165019428</v>
      </c>
      <c r="D83" s="14">
        <v>7883735.56166902</v>
      </c>
      <c r="E83" s="14">
        <f t="shared" si="24"/>
        <v>0</v>
      </c>
      <c r="F83" s="14">
        <f t="shared" si="27"/>
        <v>-238035.34516707715</v>
      </c>
      <c r="G83" s="14"/>
      <c r="H83" s="14">
        <f t="shared" si="25"/>
        <v>7645700.2165019428</v>
      </c>
      <c r="I83" s="53">
        <f t="shared" si="28"/>
        <v>0.96980678216499128</v>
      </c>
      <c r="K83" s="2" t="s">
        <v>90</v>
      </c>
    </row>
    <row r="84" spans="1:11" ht="15" x14ac:dyDescent="0.25">
      <c r="A84" s="1">
        <f t="shared" ref="A84" si="32">MAX(A81:A83)+NoOne</f>
        <v>14</v>
      </c>
      <c r="B84" s="2" t="s">
        <v>91</v>
      </c>
      <c r="C84" s="52">
        <v>5260869.3307651561</v>
      </c>
      <c r="D84" s="14">
        <v>4783801.5014610933</v>
      </c>
      <c r="E84" s="14">
        <f t="shared" si="24"/>
        <v>0</v>
      </c>
      <c r="F84" s="14">
        <f t="shared" si="27"/>
        <v>477067.82930406276</v>
      </c>
      <c r="G84" s="14"/>
      <c r="H84" s="14">
        <f t="shared" si="25"/>
        <v>5260869.3307651561</v>
      </c>
      <c r="I84" s="53">
        <f t="shared" si="28"/>
        <v>1.0997256740603376</v>
      </c>
      <c r="K84" s="2" t="s">
        <v>92</v>
      </c>
    </row>
    <row r="85" spans="1:11" ht="15" x14ac:dyDescent="0.25">
      <c r="A85" s="1">
        <f t="shared" ref="A85" si="33">MAX(A82:A84)+NoOne</f>
        <v>15</v>
      </c>
      <c r="B85" s="2" t="s">
        <v>93</v>
      </c>
      <c r="C85" s="52">
        <v>1177608.1732799991</v>
      </c>
      <c r="D85" s="14">
        <v>1454176.1955217286</v>
      </c>
      <c r="E85" s="14">
        <f t="shared" si="24"/>
        <v>0</v>
      </c>
      <c r="F85" s="14">
        <f t="shared" si="27"/>
        <v>-276568.02224172954</v>
      </c>
      <c r="G85" s="14"/>
      <c r="H85" s="14">
        <f t="shared" si="25"/>
        <v>1177608.1732799991</v>
      </c>
      <c r="I85" s="53">
        <f t="shared" si="28"/>
        <v>0.80981120231960435</v>
      </c>
      <c r="K85" s="2" t="s">
        <v>94</v>
      </c>
    </row>
    <row r="86" spans="1:11" x14ac:dyDescent="0.2">
      <c r="B86" s="13"/>
      <c r="C86" s="13"/>
      <c r="D86" s="13"/>
      <c r="E86" s="13"/>
      <c r="F86" s="13"/>
      <c r="H86" s="13"/>
      <c r="I86" s="54"/>
    </row>
    <row r="87" spans="1:11" x14ac:dyDescent="0.2">
      <c r="A87" s="1">
        <v>16</v>
      </c>
      <c r="B87" s="16" t="s">
        <v>95</v>
      </c>
      <c r="C87" s="31">
        <f>SUM(C78:C85)</f>
        <v>68909057.952898145</v>
      </c>
      <c r="D87" s="31">
        <f>SUM(D78:D85)</f>
        <v>87315429.214441314</v>
      </c>
      <c r="E87" s="31">
        <f>SUM(E78:E85)</f>
        <v>0</v>
      </c>
      <c r="F87" s="31">
        <f>SUM(F78:F85)</f>
        <v>-18406371.261543181</v>
      </c>
      <c r="G87" s="31"/>
      <c r="H87" s="31">
        <f>SUM(H78:H85)</f>
        <v>68909057.952898145</v>
      </c>
      <c r="I87" s="32">
        <f>IF(D87&lt;&gt;0,C87/D87,0)</f>
        <v>0.78919680717209495</v>
      </c>
      <c r="J87" s="15"/>
    </row>
    <row r="88" spans="1:11" ht="13.5" thickBot="1" x14ac:dyDescent="0.25">
      <c r="A88" s="1">
        <v>17</v>
      </c>
      <c r="B88" s="16" t="s">
        <v>96</v>
      </c>
      <c r="C88" s="55">
        <f>SUM(C87,C73,C68,C75)</f>
        <v>748536303.852898</v>
      </c>
      <c r="D88" s="55">
        <f>SUM(D87,D73,D68,D75)</f>
        <v>704167990.86005235</v>
      </c>
      <c r="E88" s="55">
        <f>SUM(E87,E73,E68,E75)</f>
        <v>0</v>
      </c>
      <c r="F88" s="55">
        <f>SUM(F87,F73,F68,F75)</f>
        <v>44372416.411426216</v>
      </c>
      <c r="G88" s="55"/>
      <c r="H88" s="55">
        <f>SUM(H87,H73,H68,H75)</f>
        <v>748540407.27147853</v>
      </c>
      <c r="I88" s="35">
        <f>IF(D88&lt;&gt;0,C88/D88,0)</f>
        <v>1.0630081366502548</v>
      </c>
    </row>
    <row r="89" spans="1:11" ht="13.5" thickTop="1" x14ac:dyDescent="0.2">
      <c r="H89" s="13"/>
    </row>
    <row r="90" spans="1:11" ht="15" x14ac:dyDescent="0.25">
      <c r="C90" s="56"/>
      <c r="D90" s="14"/>
      <c r="H90" s="13"/>
    </row>
    <row r="91" spans="1:11" x14ac:dyDescent="0.2">
      <c r="H91" s="13"/>
    </row>
    <row r="92" spans="1:11" x14ac:dyDescent="0.2">
      <c r="B92" s="23"/>
    </row>
    <row r="93" spans="1:11" x14ac:dyDescent="0.2">
      <c r="B93" s="41"/>
      <c r="E93" s="13"/>
    </row>
    <row r="94" spans="1:11" hidden="1" x14ac:dyDescent="0.2">
      <c r="B94" s="41"/>
    </row>
    <row r="95" spans="1:11" hidden="1" x14ac:dyDescent="0.2">
      <c r="B95" s="57"/>
    </row>
    <row r="96" spans="1:11" hidden="1" x14ac:dyDescent="0.2"/>
    <row r="97" spans="1:18" x14ac:dyDescent="0.2">
      <c r="I97" s="4" t="s">
        <v>207</v>
      </c>
    </row>
    <row r="98" spans="1:18" x14ac:dyDescent="0.2">
      <c r="I98" s="4" t="s">
        <v>97</v>
      </c>
    </row>
    <row r="99" spans="1:18" x14ac:dyDescent="0.2">
      <c r="I99" s="5"/>
    </row>
    <row r="101" spans="1:18" x14ac:dyDescent="0.2">
      <c r="A101" s="6" t="str">
        <f>+A6</f>
        <v>NEWFOUNDLAND AND LABRADOR HYDRO</v>
      </c>
      <c r="B101" s="6"/>
      <c r="C101" s="6"/>
      <c r="D101" s="6"/>
      <c r="E101" s="6"/>
      <c r="F101" s="6"/>
      <c r="G101" s="6"/>
      <c r="H101" s="6"/>
      <c r="I101" s="6"/>
    </row>
    <row r="102" spans="1:18" x14ac:dyDescent="0.2">
      <c r="A102" s="6" t="str">
        <f>RunName</f>
        <v>2027 Test Year Cost of Service Study</v>
      </c>
      <c r="B102" s="6"/>
      <c r="C102" s="6"/>
      <c r="D102" s="6"/>
      <c r="E102" s="6"/>
      <c r="F102" s="6"/>
      <c r="G102" s="6"/>
      <c r="H102" s="6"/>
      <c r="I102" s="6"/>
    </row>
    <row r="103" spans="1:18" x14ac:dyDescent="0.2">
      <c r="A103" s="6" t="s">
        <v>64</v>
      </c>
      <c r="B103" s="6"/>
      <c r="C103" s="6"/>
      <c r="D103" s="6"/>
      <c r="E103" s="6"/>
      <c r="F103" s="6"/>
      <c r="G103" s="6"/>
      <c r="H103" s="6"/>
      <c r="I103" s="6"/>
    </row>
    <row r="104" spans="1:18" x14ac:dyDescent="0.2">
      <c r="A104" s="6" t="s">
        <v>9</v>
      </c>
      <c r="B104" s="6"/>
      <c r="C104" s="6"/>
      <c r="D104" s="6"/>
      <c r="E104" s="6"/>
      <c r="F104" s="6"/>
      <c r="G104" s="6"/>
      <c r="H104" s="6"/>
      <c r="I104" s="6"/>
      <c r="R104" s="1"/>
    </row>
    <row r="105" spans="1:18" s="1" customFormat="1" x14ac:dyDescent="0.2"/>
    <row r="106" spans="1:18" s="1" customFormat="1" x14ac:dyDescent="0.2">
      <c r="B106" s="1">
        <f t="shared" ref="B106:I106" si="34">MAX(A106)+NoOne</f>
        <v>1</v>
      </c>
      <c r="C106" s="1">
        <f t="shared" si="34"/>
        <v>2</v>
      </c>
      <c r="D106" s="1">
        <f t="shared" si="34"/>
        <v>3</v>
      </c>
      <c r="E106" s="1">
        <f t="shared" si="34"/>
        <v>4</v>
      </c>
      <c r="F106" s="1">
        <f t="shared" si="34"/>
        <v>5</v>
      </c>
      <c r="G106" s="1">
        <f t="shared" si="34"/>
        <v>6</v>
      </c>
      <c r="H106" s="1">
        <v>6</v>
      </c>
      <c r="I106" s="1">
        <f t="shared" si="34"/>
        <v>7</v>
      </c>
    </row>
    <row r="107" spans="1:18" s="1" customFormat="1" x14ac:dyDescent="0.2"/>
    <row r="108" spans="1:18" x14ac:dyDescent="0.2">
      <c r="B108" s="1"/>
      <c r="C108" s="1"/>
      <c r="D108" s="8" t="s">
        <v>12</v>
      </c>
      <c r="E108" s="1"/>
      <c r="F108" s="1"/>
      <c r="H108" s="8" t="s">
        <v>13</v>
      </c>
      <c r="I108" s="1" t="s">
        <v>14</v>
      </c>
    </row>
    <row r="109" spans="1:18" x14ac:dyDescent="0.2">
      <c r="A109" s="1" t="s">
        <v>17</v>
      </c>
      <c r="B109" s="1"/>
      <c r="C109" s="1"/>
      <c r="D109" s="1" t="s">
        <v>18</v>
      </c>
      <c r="E109" s="1" t="s">
        <v>14</v>
      </c>
      <c r="F109" s="1"/>
      <c r="G109" s="8" t="s">
        <v>19</v>
      </c>
      <c r="H109" s="8" t="s">
        <v>20</v>
      </c>
      <c r="I109" s="1" t="s">
        <v>21</v>
      </c>
    </row>
    <row r="110" spans="1:18" x14ac:dyDescent="0.2">
      <c r="A110" s="1" t="s">
        <v>25</v>
      </c>
      <c r="B110" s="1" t="s">
        <v>26</v>
      </c>
      <c r="C110" s="1" t="s">
        <v>27</v>
      </c>
      <c r="D110" s="1" t="s">
        <v>28</v>
      </c>
      <c r="E110" s="1" t="s">
        <v>71</v>
      </c>
      <c r="F110" s="1" t="s">
        <v>30</v>
      </c>
      <c r="G110" s="1" t="s">
        <v>31</v>
      </c>
      <c r="H110" s="1" t="s">
        <v>28</v>
      </c>
      <c r="I110" s="1" t="s">
        <v>32</v>
      </c>
    </row>
    <row r="111" spans="1:18" x14ac:dyDescent="0.2">
      <c r="B111" s="1"/>
      <c r="C111" s="1"/>
      <c r="D111" s="1"/>
      <c r="E111" s="1"/>
      <c r="F111" s="1"/>
      <c r="H111" s="11" t="s">
        <v>38</v>
      </c>
      <c r="I111" s="1" t="s">
        <v>39</v>
      </c>
    </row>
    <row r="112" spans="1:18" x14ac:dyDescent="0.2">
      <c r="B112" s="1"/>
      <c r="C112" s="1" t="s">
        <v>40</v>
      </c>
      <c r="D112" s="1" t="s">
        <v>40</v>
      </c>
      <c r="E112" s="1" t="s">
        <v>40</v>
      </c>
      <c r="F112" s="1" t="s">
        <v>40</v>
      </c>
      <c r="G112" s="1" t="s">
        <v>40</v>
      </c>
      <c r="H112" s="1" t="s">
        <v>40</v>
      </c>
      <c r="I112" s="1"/>
    </row>
    <row r="115" spans="1:12" x14ac:dyDescent="0.2">
      <c r="B115" s="16" t="s">
        <v>64</v>
      </c>
    </row>
    <row r="116" spans="1:12" ht="15" x14ac:dyDescent="0.25">
      <c r="A116" s="1">
        <f t="shared" ref="A116" si="35">MAX(A113:A115)+NoOne</f>
        <v>1</v>
      </c>
      <c r="B116" s="2" t="s">
        <v>98</v>
      </c>
      <c r="C116" s="52">
        <v>809510.05334059661</v>
      </c>
      <c r="D116" s="14">
        <v>7704844.263737564</v>
      </c>
      <c r="E116" s="14"/>
      <c r="F116" s="14">
        <f>C116-D116</f>
        <v>-6895334.2103969678</v>
      </c>
      <c r="G116" s="14"/>
      <c r="H116" s="14">
        <f t="shared" ref="H116:H126" si="36">SUM(D116,F116)</f>
        <v>809510.05334059615</v>
      </c>
      <c r="I116" s="53">
        <f>IF(D116&lt;&gt;0,C116/D116,0)</f>
        <v>0.10506507667526938</v>
      </c>
      <c r="K116" s="58" t="s">
        <v>99</v>
      </c>
      <c r="L116" s="58"/>
    </row>
    <row r="117" spans="1:12" ht="15" x14ac:dyDescent="0.25">
      <c r="A117" s="1">
        <f t="shared" ref="A117" si="37">MAX(A114:A116)+NoOne</f>
        <v>2</v>
      </c>
      <c r="B117" s="2" t="s">
        <v>100</v>
      </c>
      <c r="C117" s="52">
        <v>0</v>
      </c>
      <c r="D117" s="14">
        <v>55464.455893001636</v>
      </c>
      <c r="E117" s="14"/>
      <c r="F117" s="14">
        <f t="shared" ref="F117:F126" si="38">C117-D117</f>
        <v>-55464.455893001636</v>
      </c>
      <c r="G117" s="14"/>
      <c r="H117" s="14">
        <f t="shared" si="36"/>
        <v>0</v>
      </c>
      <c r="I117" s="53">
        <f t="shared" ref="I117:I126" si="39">IF(D117&lt;&gt;0,C117/D117,0)</f>
        <v>0</v>
      </c>
      <c r="K117" s="58" t="s">
        <v>101</v>
      </c>
      <c r="L117" s="58"/>
    </row>
    <row r="118" spans="1:12" ht="15" x14ac:dyDescent="0.25">
      <c r="A118" s="1">
        <f t="shared" ref="A118" si="40">MAX(A115:A117)+NoOne</f>
        <v>3</v>
      </c>
      <c r="B118" s="23" t="s">
        <v>102</v>
      </c>
      <c r="C118" s="52">
        <v>54842.660460796527</v>
      </c>
      <c r="D118" s="14">
        <v>367318.76345747465</v>
      </c>
      <c r="E118" s="14"/>
      <c r="F118" s="14">
        <f t="shared" si="38"/>
        <v>-312476.10299667809</v>
      </c>
      <c r="G118" s="14"/>
      <c r="H118" s="14">
        <f t="shared" si="36"/>
        <v>54842.660460796556</v>
      </c>
      <c r="I118" s="53">
        <f t="shared" si="39"/>
        <v>0.14930536067522668</v>
      </c>
      <c r="K118" s="58" t="s">
        <v>103</v>
      </c>
      <c r="L118" s="58"/>
    </row>
    <row r="119" spans="1:12" ht="15" x14ac:dyDescent="0.25">
      <c r="A119" s="1">
        <f t="shared" ref="A119" si="41">MAX(A116:A118)+NoOne</f>
        <v>4</v>
      </c>
      <c r="B119" s="2" t="s">
        <v>104</v>
      </c>
      <c r="C119" s="52">
        <v>285054.36288423219</v>
      </c>
      <c r="D119" s="52">
        <v>823424.74077321135</v>
      </c>
      <c r="E119" s="14"/>
      <c r="F119" s="14">
        <f t="shared" si="38"/>
        <v>-538370.37788897916</v>
      </c>
      <c r="G119" s="14"/>
      <c r="H119" s="14">
        <f t="shared" si="36"/>
        <v>285054.36288423219</v>
      </c>
      <c r="I119" s="53">
        <f t="shared" si="39"/>
        <v>0.3461814404757389</v>
      </c>
      <c r="K119" s="58" t="s">
        <v>105</v>
      </c>
      <c r="L119" s="58"/>
    </row>
    <row r="120" spans="1:12" ht="15" x14ac:dyDescent="0.25">
      <c r="A120" s="1">
        <f t="shared" ref="A120" si="42">MAX(A117:A119)+NoOne</f>
        <v>5</v>
      </c>
      <c r="B120" s="2" t="s">
        <v>106</v>
      </c>
      <c r="C120" s="52">
        <v>535299.34273159155</v>
      </c>
      <c r="D120" s="52">
        <v>1290296.0560981249</v>
      </c>
      <c r="E120" s="14"/>
      <c r="F120" s="14">
        <f t="shared" si="38"/>
        <v>-754996.7133665334</v>
      </c>
      <c r="G120" s="14"/>
      <c r="H120" s="14">
        <f t="shared" si="36"/>
        <v>535299.34273159155</v>
      </c>
      <c r="I120" s="53">
        <f t="shared" si="39"/>
        <v>0.4148655188099582</v>
      </c>
      <c r="K120" s="58" t="s">
        <v>107</v>
      </c>
      <c r="L120" s="58"/>
    </row>
    <row r="121" spans="1:12" ht="15" x14ac:dyDescent="0.25">
      <c r="A121" s="1">
        <f t="shared" ref="A121" si="43">MAX(A118:A120)+NoOne</f>
        <v>6</v>
      </c>
      <c r="B121" s="2" t="s">
        <v>108</v>
      </c>
      <c r="C121" s="52">
        <v>0</v>
      </c>
      <c r="D121" s="14">
        <v>0</v>
      </c>
      <c r="E121" s="14"/>
      <c r="F121" s="14">
        <f t="shared" si="38"/>
        <v>0</v>
      </c>
      <c r="G121" s="14"/>
      <c r="H121" s="14">
        <f t="shared" si="36"/>
        <v>0</v>
      </c>
      <c r="I121" s="53">
        <f t="shared" si="39"/>
        <v>0</v>
      </c>
      <c r="K121" s="58" t="s">
        <v>109</v>
      </c>
      <c r="L121" s="58"/>
    </row>
    <row r="122" spans="1:12" ht="15" x14ac:dyDescent="0.25">
      <c r="A122" s="1">
        <f t="shared" ref="A122" si="44">MAX(A119:A121)+NoOne</f>
        <v>7</v>
      </c>
      <c r="B122" s="2" t="s">
        <v>91</v>
      </c>
      <c r="C122" s="52">
        <v>0</v>
      </c>
      <c r="D122" s="14">
        <v>0</v>
      </c>
      <c r="E122" s="14"/>
      <c r="F122" s="14">
        <f t="shared" si="38"/>
        <v>0</v>
      </c>
      <c r="G122" s="14"/>
      <c r="H122" s="14">
        <f t="shared" si="36"/>
        <v>0</v>
      </c>
      <c r="I122" s="53">
        <f t="shared" si="39"/>
        <v>0</v>
      </c>
      <c r="K122" s="58" t="s">
        <v>110</v>
      </c>
      <c r="L122" s="58"/>
    </row>
    <row r="123" spans="1:12" ht="15" hidden="1" x14ac:dyDescent="0.25">
      <c r="A123" s="1">
        <f t="shared" ref="A123" si="45">MAX(A120:A122)+NoOne</f>
        <v>8</v>
      </c>
      <c r="B123" s="2" t="s">
        <v>111</v>
      </c>
      <c r="C123" s="52">
        <v>0</v>
      </c>
      <c r="D123" s="14">
        <v>0</v>
      </c>
      <c r="E123" s="14"/>
      <c r="F123" s="14">
        <f t="shared" si="38"/>
        <v>0</v>
      </c>
      <c r="G123" s="14"/>
      <c r="H123" s="14">
        <f t="shared" si="36"/>
        <v>0</v>
      </c>
      <c r="I123" s="53">
        <f t="shared" si="39"/>
        <v>0</v>
      </c>
      <c r="K123" s="58" t="s">
        <v>112</v>
      </c>
      <c r="L123" s="58"/>
    </row>
    <row r="124" spans="1:12" ht="15" hidden="1" x14ac:dyDescent="0.25">
      <c r="A124" s="1">
        <f t="shared" ref="A124" si="46">MAX(A121:A123)+NoOne</f>
        <v>9</v>
      </c>
      <c r="B124" s="2" t="s">
        <v>113</v>
      </c>
      <c r="C124" s="52">
        <v>0</v>
      </c>
      <c r="D124" s="14">
        <v>0</v>
      </c>
      <c r="E124" s="14"/>
      <c r="F124" s="14">
        <f t="shared" si="38"/>
        <v>0</v>
      </c>
      <c r="G124" s="14"/>
      <c r="H124" s="14">
        <f t="shared" si="36"/>
        <v>0</v>
      </c>
      <c r="I124" s="53">
        <f t="shared" si="39"/>
        <v>0</v>
      </c>
      <c r="K124" s="58" t="s">
        <v>114</v>
      </c>
      <c r="L124" s="58"/>
    </row>
    <row r="125" spans="1:12" ht="15" x14ac:dyDescent="0.25">
      <c r="A125" s="1">
        <v>8</v>
      </c>
      <c r="B125" s="2" t="s">
        <v>93</v>
      </c>
      <c r="C125" s="52">
        <v>26858.520479999981</v>
      </c>
      <c r="D125" s="52">
        <v>163053.22773518122</v>
      </c>
      <c r="E125" s="14"/>
      <c r="F125" s="14">
        <f t="shared" si="38"/>
        <v>-136194.70725518125</v>
      </c>
      <c r="G125" s="14"/>
      <c r="H125" s="14">
        <f t="shared" si="36"/>
        <v>26858.520479999977</v>
      </c>
      <c r="I125" s="53">
        <f t="shared" si="39"/>
        <v>0.16472240907503879</v>
      </c>
      <c r="K125" s="58" t="s">
        <v>115</v>
      </c>
      <c r="L125" s="58"/>
    </row>
    <row r="126" spans="1:12" ht="15" x14ac:dyDescent="0.25">
      <c r="A126" s="1">
        <v>9</v>
      </c>
      <c r="B126" s="23" t="s">
        <v>116</v>
      </c>
      <c r="C126" s="52">
        <v>6384</v>
      </c>
      <c r="D126" s="14">
        <v>0</v>
      </c>
      <c r="E126" s="14"/>
      <c r="F126" s="14">
        <f t="shared" si="38"/>
        <v>6384</v>
      </c>
      <c r="G126" s="14"/>
      <c r="H126" s="14">
        <f t="shared" si="36"/>
        <v>6384</v>
      </c>
      <c r="I126" s="53">
        <f t="shared" si="39"/>
        <v>0</v>
      </c>
      <c r="K126" s="58" t="s">
        <v>117</v>
      </c>
      <c r="L126" s="58"/>
    </row>
    <row r="127" spans="1:12" x14ac:dyDescent="0.2">
      <c r="C127" s="36"/>
      <c r="D127" s="36"/>
      <c r="E127" s="36"/>
      <c r="F127" s="43"/>
      <c r="H127" s="36"/>
      <c r="I127" s="54"/>
    </row>
    <row r="128" spans="1:12" ht="17.25" thickBot="1" x14ac:dyDescent="0.35">
      <c r="A128" s="1">
        <v>10</v>
      </c>
      <c r="B128" s="59" t="s">
        <v>118</v>
      </c>
      <c r="C128" s="60">
        <f>SUM(C116:C126)</f>
        <v>1717948.9398972169</v>
      </c>
      <c r="D128" s="60">
        <f>SUM(D116:D126)</f>
        <v>10404401.507694557</v>
      </c>
      <c r="E128" s="60"/>
      <c r="F128" s="60">
        <f>SUM(F116:F126)</f>
        <v>-8686452.5677973405</v>
      </c>
      <c r="G128" s="60"/>
      <c r="H128" s="60">
        <f>SUM(H116:H126)</f>
        <v>1717948.9398972164</v>
      </c>
      <c r="I128" s="61">
        <f>IF(D128&lt;&gt;0,C128/D128,0)</f>
        <v>0.16511751671893002</v>
      </c>
    </row>
    <row r="129" spans="1:18" ht="13.5" thickTop="1" x14ac:dyDescent="0.2">
      <c r="I129" s="54"/>
    </row>
    <row r="132" spans="1:18" x14ac:dyDescent="0.2">
      <c r="R132" s="1"/>
    </row>
    <row r="135" spans="1:18" x14ac:dyDescent="0.2">
      <c r="I135" s="4" t="s">
        <v>207</v>
      </c>
    </row>
    <row r="136" spans="1:18" x14ac:dyDescent="0.2">
      <c r="I136" s="4" t="s">
        <v>119</v>
      </c>
    </row>
    <row r="137" spans="1:18" x14ac:dyDescent="0.2">
      <c r="I137" s="5"/>
    </row>
    <row r="139" spans="1:18" x14ac:dyDescent="0.2">
      <c r="A139" s="6" t="str">
        <f>+A6</f>
        <v>NEWFOUNDLAND AND LABRADOR HYDRO</v>
      </c>
      <c r="B139" s="6"/>
      <c r="C139" s="6"/>
      <c r="D139" s="6"/>
      <c r="E139" s="6"/>
      <c r="F139" s="6"/>
      <c r="G139" s="6"/>
      <c r="H139" s="6"/>
      <c r="I139" s="6"/>
    </row>
    <row r="140" spans="1:18" x14ac:dyDescent="0.2">
      <c r="A140" s="6" t="str">
        <f>RunName</f>
        <v>2027 Test Year Cost of Service Study</v>
      </c>
      <c r="B140" s="6"/>
      <c r="C140" s="6"/>
      <c r="D140" s="6"/>
      <c r="E140" s="6"/>
      <c r="F140" s="6"/>
      <c r="G140" s="6"/>
      <c r="H140" s="6"/>
      <c r="I140" s="6"/>
    </row>
    <row r="141" spans="1:18" x14ac:dyDescent="0.2">
      <c r="A141" s="6" t="s">
        <v>65</v>
      </c>
      <c r="B141" s="6"/>
      <c r="C141" s="6"/>
      <c r="D141" s="6"/>
      <c r="E141" s="6"/>
      <c r="F141" s="6"/>
      <c r="G141" s="6"/>
      <c r="H141" s="6"/>
      <c r="I141" s="6"/>
    </row>
    <row r="142" spans="1:18" x14ac:dyDescent="0.2">
      <c r="A142" s="6" t="s">
        <v>9</v>
      </c>
      <c r="B142" s="6"/>
      <c r="C142" s="6"/>
      <c r="D142" s="6"/>
      <c r="E142" s="6"/>
      <c r="F142" s="6"/>
      <c r="G142" s="6"/>
      <c r="H142" s="6"/>
      <c r="I142" s="6"/>
    </row>
    <row r="143" spans="1:18" s="1" customFormat="1" x14ac:dyDescent="0.2"/>
    <row r="144" spans="1:18" s="1" customFormat="1" x14ac:dyDescent="0.2">
      <c r="B144" s="1">
        <f t="shared" ref="B144:I144" si="47">MAX(A144)+NoOne</f>
        <v>1</v>
      </c>
      <c r="C144" s="1">
        <f t="shared" si="47"/>
        <v>2</v>
      </c>
      <c r="D144" s="1">
        <f t="shared" si="47"/>
        <v>3</v>
      </c>
      <c r="E144" s="1">
        <f t="shared" si="47"/>
        <v>4</v>
      </c>
      <c r="F144" s="1">
        <f t="shared" si="47"/>
        <v>5</v>
      </c>
      <c r="G144" s="1">
        <f t="shared" si="47"/>
        <v>6</v>
      </c>
      <c r="H144" s="1">
        <v>6</v>
      </c>
      <c r="I144" s="1">
        <f t="shared" si="47"/>
        <v>7</v>
      </c>
    </row>
    <row r="145" spans="1:18" s="1" customFormat="1" x14ac:dyDescent="0.2"/>
    <row r="146" spans="1:18" x14ac:dyDescent="0.2">
      <c r="B146" s="1"/>
      <c r="C146" s="1"/>
      <c r="D146" s="8" t="s">
        <v>12</v>
      </c>
      <c r="E146" s="1"/>
      <c r="F146" s="1"/>
      <c r="H146" s="8" t="s">
        <v>13</v>
      </c>
      <c r="I146" s="1" t="s">
        <v>14</v>
      </c>
    </row>
    <row r="147" spans="1:18" x14ac:dyDescent="0.2">
      <c r="A147" s="1" t="s">
        <v>17</v>
      </c>
      <c r="B147" s="1"/>
      <c r="C147" s="1"/>
      <c r="D147" s="1" t="s">
        <v>18</v>
      </c>
      <c r="E147" s="1" t="s">
        <v>14</v>
      </c>
      <c r="F147" s="1"/>
      <c r="G147" s="8" t="s">
        <v>19</v>
      </c>
      <c r="H147" s="8" t="s">
        <v>20</v>
      </c>
      <c r="I147" s="1" t="s">
        <v>21</v>
      </c>
    </row>
    <row r="148" spans="1:18" x14ac:dyDescent="0.2">
      <c r="A148" s="1" t="s">
        <v>25</v>
      </c>
      <c r="B148" s="1" t="s">
        <v>26</v>
      </c>
      <c r="C148" s="1" t="s">
        <v>27</v>
      </c>
      <c r="D148" s="1" t="s">
        <v>28</v>
      </c>
      <c r="E148" s="1" t="s">
        <v>71</v>
      </c>
      <c r="F148" s="1" t="s">
        <v>30</v>
      </c>
      <c r="G148" s="1" t="s">
        <v>31</v>
      </c>
      <c r="H148" s="1" t="s">
        <v>28</v>
      </c>
      <c r="I148" s="1" t="s">
        <v>32</v>
      </c>
    </row>
    <row r="149" spans="1:18" x14ac:dyDescent="0.2">
      <c r="B149" s="1"/>
      <c r="C149" s="1"/>
      <c r="D149" s="1"/>
      <c r="E149" s="1"/>
      <c r="F149" s="1"/>
      <c r="H149" s="11" t="s">
        <v>38</v>
      </c>
      <c r="I149" s="1" t="s">
        <v>39</v>
      </c>
    </row>
    <row r="150" spans="1:18" x14ac:dyDescent="0.2">
      <c r="B150" s="1"/>
      <c r="C150" s="1" t="s">
        <v>40</v>
      </c>
      <c r="D150" s="1" t="s">
        <v>40</v>
      </c>
      <c r="E150" s="1" t="s">
        <v>40</v>
      </c>
      <c r="F150" s="1" t="s">
        <v>40</v>
      </c>
      <c r="G150" s="1" t="s">
        <v>40</v>
      </c>
      <c r="H150" s="1" t="s">
        <v>40</v>
      </c>
      <c r="I150" s="1"/>
    </row>
    <row r="153" spans="1:18" x14ac:dyDescent="0.2">
      <c r="B153" s="16" t="s">
        <v>65</v>
      </c>
    </row>
    <row r="154" spans="1:18" ht="15" x14ac:dyDescent="0.25">
      <c r="A154" s="1">
        <f t="shared" ref="A154" si="48">MAX(A151:A153)+NoOne</f>
        <v>1</v>
      </c>
      <c r="B154" s="2" t="s">
        <v>98</v>
      </c>
      <c r="C154" s="52">
        <v>4669502.3740669573</v>
      </c>
      <c r="D154" s="14">
        <v>25171515.047610119</v>
      </c>
      <c r="E154" s="14"/>
      <c r="F154" s="14">
        <f>C154-D154</f>
        <v>-20502012.673543163</v>
      </c>
      <c r="G154" s="14"/>
      <c r="H154" s="14">
        <f t="shared" ref="H154:H164" si="49">SUM(D154,F154)</f>
        <v>4669502.3740669563</v>
      </c>
      <c r="I154" s="53">
        <f>IF(D154&lt;&gt;0,C154/D154,0)</f>
        <v>0.18550740252364339</v>
      </c>
      <c r="K154" s="2" t="s">
        <v>120</v>
      </c>
    </row>
    <row r="155" spans="1:18" ht="15" x14ac:dyDescent="0.25">
      <c r="A155" s="1">
        <f t="shared" ref="A155" si="50">MAX(A152:A154)+NoOne</f>
        <v>2</v>
      </c>
      <c r="B155" s="2" t="s">
        <v>100</v>
      </c>
      <c r="C155" s="52">
        <v>945103.9988196888</v>
      </c>
      <c r="D155" s="14">
        <v>894392.75602439465</v>
      </c>
      <c r="E155" s="14"/>
      <c r="F155" s="14">
        <f t="shared" ref="F155:F163" si="51">C155-D155</f>
        <v>50711.242795294151</v>
      </c>
      <c r="G155" s="14"/>
      <c r="H155" s="14">
        <f t="shared" si="49"/>
        <v>945103.9988196888</v>
      </c>
      <c r="I155" s="53">
        <f t="shared" ref="I155:I164" si="52">IF(D155&lt;&gt;0,C155/D155,0)</f>
        <v>1.0566990759414323</v>
      </c>
      <c r="K155" s="2" t="s">
        <v>121</v>
      </c>
    </row>
    <row r="156" spans="1:18" ht="15" x14ac:dyDescent="0.25">
      <c r="A156" s="1">
        <f t="shared" ref="A156" si="53">MAX(A153:A155)+NoOne</f>
        <v>3</v>
      </c>
      <c r="B156" s="23" t="s">
        <v>102</v>
      </c>
      <c r="C156" s="52">
        <v>328741.89270779031</v>
      </c>
      <c r="D156" s="14">
        <v>1337649.2549823974</v>
      </c>
      <c r="E156" s="14"/>
      <c r="F156" s="14">
        <f t="shared" si="51"/>
        <v>-1008907.3622746072</v>
      </c>
      <c r="G156" s="14"/>
      <c r="H156" s="14">
        <f t="shared" si="49"/>
        <v>328741.89270779025</v>
      </c>
      <c r="I156" s="53">
        <f t="shared" si="52"/>
        <v>0.24576090592007718</v>
      </c>
      <c r="K156" s="2" t="s">
        <v>122</v>
      </c>
    </row>
    <row r="157" spans="1:18" ht="15" x14ac:dyDescent="0.25">
      <c r="A157" s="1">
        <f t="shared" ref="A157" si="54">MAX(A154:A156)+NoOne</f>
        <v>4</v>
      </c>
      <c r="B157" s="2" t="s">
        <v>104</v>
      </c>
      <c r="C157" s="52">
        <v>1505529.9763934463</v>
      </c>
      <c r="D157" s="14">
        <v>3692362.2730602482</v>
      </c>
      <c r="E157" s="14"/>
      <c r="F157" s="14">
        <f t="shared" si="51"/>
        <v>-2186832.2966668019</v>
      </c>
      <c r="G157" s="14"/>
      <c r="H157" s="14">
        <f t="shared" si="49"/>
        <v>1505529.9763934463</v>
      </c>
      <c r="I157" s="53">
        <f t="shared" si="52"/>
        <v>0.40774167458537475</v>
      </c>
      <c r="K157" s="2" t="s">
        <v>123</v>
      </c>
    </row>
    <row r="158" spans="1:18" ht="15" x14ac:dyDescent="0.25">
      <c r="A158" s="1">
        <f t="shared" ref="A158" si="55">MAX(A155:A157)+NoOne</f>
        <v>5</v>
      </c>
      <c r="B158" s="2" t="s">
        <v>106</v>
      </c>
      <c r="C158" s="52">
        <v>3760678.8175117802</v>
      </c>
      <c r="D158" s="14">
        <v>9555598.3239415344</v>
      </c>
      <c r="E158" s="14"/>
      <c r="F158" s="14">
        <f t="shared" si="51"/>
        <v>-5794919.5064297542</v>
      </c>
      <c r="G158" s="14"/>
      <c r="H158" s="14">
        <f t="shared" si="49"/>
        <v>3760678.8175117802</v>
      </c>
      <c r="I158" s="53">
        <f t="shared" si="52"/>
        <v>0.39355764966484685</v>
      </c>
      <c r="K158" s="2" t="s">
        <v>124</v>
      </c>
    </row>
    <row r="159" spans="1:18" ht="15" x14ac:dyDescent="0.25">
      <c r="A159" s="1">
        <f t="shared" ref="A159" si="56">MAX(A156:A158)+NoOne</f>
        <v>6</v>
      </c>
      <c r="B159" s="2" t="s">
        <v>108</v>
      </c>
      <c r="C159" s="52">
        <v>364087.48779334419</v>
      </c>
      <c r="D159" s="14">
        <v>1830406.5511158232</v>
      </c>
      <c r="E159" s="14"/>
      <c r="F159" s="14">
        <f t="shared" si="51"/>
        <v>-1466319.0633224789</v>
      </c>
      <c r="G159" s="14"/>
      <c r="H159" s="14">
        <f t="shared" si="49"/>
        <v>364087.48779334431</v>
      </c>
      <c r="I159" s="53">
        <f t="shared" si="52"/>
        <v>0.19891072153964648</v>
      </c>
      <c r="K159" s="2" t="s">
        <v>125</v>
      </c>
    </row>
    <row r="160" spans="1:18" ht="15" x14ac:dyDescent="0.25">
      <c r="A160" s="1">
        <f t="shared" ref="A160" si="57">MAX(A157:A159)+NoOne</f>
        <v>7</v>
      </c>
      <c r="B160" s="2" t="s">
        <v>91</v>
      </c>
      <c r="C160" s="52">
        <v>245159.76993788074</v>
      </c>
      <c r="D160" s="14">
        <v>1373674.8775542325</v>
      </c>
      <c r="E160" s="14"/>
      <c r="F160" s="14">
        <f t="shared" si="51"/>
        <v>-1128515.1076163517</v>
      </c>
      <c r="G160" s="14"/>
      <c r="H160" s="14">
        <f t="shared" si="49"/>
        <v>245159.7699378808</v>
      </c>
      <c r="I160" s="53">
        <f t="shared" si="52"/>
        <v>0.17847001058531178</v>
      </c>
      <c r="K160" s="2" t="s">
        <v>126</v>
      </c>
      <c r="R160" s="1"/>
    </row>
    <row r="161" spans="1:11" ht="15" hidden="1" x14ac:dyDescent="0.25">
      <c r="A161" s="1">
        <f t="shared" ref="A161" si="58">MAX(A158:A160)+NoOne</f>
        <v>8</v>
      </c>
      <c r="B161" s="2" t="s">
        <v>111</v>
      </c>
      <c r="C161" s="52">
        <v>0</v>
      </c>
      <c r="D161" s="14">
        <v>0</v>
      </c>
      <c r="E161" s="14"/>
      <c r="F161" s="14">
        <f t="shared" si="51"/>
        <v>0</v>
      </c>
      <c r="G161" s="14"/>
      <c r="H161" s="14">
        <f t="shared" si="49"/>
        <v>0</v>
      </c>
      <c r="I161" s="53">
        <f t="shared" si="52"/>
        <v>0</v>
      </c>
      <c r="K161" s="2" t="s">
        <v>127</v>
      </c>
    </row>
    <row r="162" spans="1:11" ht="15" hidden="1" x14ac:dyDescent="0.25">
      <c r="A162" s="1">
        <f t="shared" ref="A162" si="59">MAX(A159:A161)+NoOne</f>
        <v>9</v>
      </c>
      <c r="B162" s="2" t="s">
        <v>113</v>
      </c>
      <c r="C162" s="52">
        <v>0</v>
      </c>
      <c r="D162" s="14">
        <v>0</v>
      </c>
      <c r="E162" s="14"/>
      <c r="F162" s="14">
        <f t="shared" si="51"/>
        <v>0</v>
      </c>
      <c r="G162" s="14"/>
      <c r="H162" s="14">
        <f t="shared" si="49"/>
        <v>0</v>
      </c>
      <c r="I162" s="53">
        <f t="shared" si="52"/>
        <v>0</v>
      </c>
      <c r="K162" s="2" t="s">
        <v>128</v>
      </c>
    </row>
    <row r="163" spans="1:11" ht="15" x14ac:dyDescent="0.25">
      <c r="A163" s="1">
        <v>8</v>
      </c>
      <c r="B163" s="2" t="s">
        <v>93</v>
      </c>
      <c r="C163" s="52">
        <v>144154.86624000021</v>
      </c>
      <c r="D163" s="14">
        <v>309889.10472647514</v>
      </c>
      <c r="E163" s="14"/>
      <c r="F163" s="14">
        <f t="shared" si="51"/>
        <v>-165734.23848647493</v>
      </c>
      <c r="G163" s="14"/>
      <c r="H163" s="14">
        <f t="shared" si="49"/>
        <v>144154.86624000021</v>
      </c>
      <c r="I163" s="53">
        <f t="shared" si="52"/>
        <v>0.46518210560270934</v>
      </c>
      <c r="K163" s="2" t="s">
        <v>129</v>
      </c>
    </row>
    <row r="164" spans="1:11" ht="15" x14ac:dyDescent="0.25">
      <c r="A164" s="1">
        <v>9</v>
      </c>
      <c r="B164" s="23" t="s">
        <v>116</v>
      </c>
      <c r="C164" s="52">
        <v>6384</v>
      </c>
      <c r="D164" s="14">
        <v>0</v>
      </c>
      <c r="E164" s="14"/>
      <c r="F164" s="14">
        <f>C164-D164</f>
        <v>6384</v>
      </c>
      <c r="G164" s="14"/>
      <c r="H164" s="14">
        <f t="shared" si="49"/>
        <v>6384</v>
      </c>
      <c r="I164" s="53">
        <f t="shared" si="52"/>
        <v>0</v>
      </c>
      <c r="K164" s="2" t="s">
        <v>130</v>
      </c>
    </row>
    <row r="165" spans="1:11" x14ac:dyDescent="0.2">
      <c r="C165" s="36"/>
      <c r="D165" s="36"/>
      <c r="E165" s="36"/>
      <c r="F165" s="43"/>
      <c r="H165" s="36"/>
      <c r="I165" s="54"/>
    </row>
    <row r="166" spans="1:11" ht="17.25" thickBot="1" x14ac:dyDescent="0.35">
      <c r="A166" s="1">
        <v>10</v>
      </c>
      <c r="B166" s="59" t="s">
        <v>118</v>
      </c>
      <c r="C166" s="60">
        <f>SUM(C154:C164)</f>
        <v>11969343.183470888</v>
      </c>
      <c r="D166" s="60">
        <f>SUM(D154:D164)</f>
        <v>44165488.189015225</v>
      </c>
      <c r="E166" s="60"/>
      <c r="F166" s="60">
        <f t="shared" ref="F166" si="60">C166-D166</f>
        <v>-32196145.005544335</v>
      </c>
      <c r="G166" s="60"/>
      <c r="H166" s="60">
        <f>SUM(H154:H164)</f>
        <v>11969343.183470888</v>
      </c>
      <c r="I166" s="61">
        <f>IF(D166&lt;&gt;0,C166/D166,0)</f>
        <v>0.27101122786746157</v>
      </c>
    </row>
    <row r="167" spans="1:11" ht="13.5" thickTop="1" x14ac:dyDescent="0.2"/>
    <row r="173" spans="1:11" x14ac:dyDescent="0.2">
      <c r="I173" s="4" t="s">
        <v>207</v>
      </c>
    </row>
    <row r="174" spans="1:11" x14ac:dyDescent="0.2">
      <c r="I174" s="4" t="s">
        <v>131</v>
      </c>
    </row>
    <row r="175" spans="1:11" x14ac:dyDescent="0.2">
      <c r="I175" s="5"/>
    </row>
    <row r="177" spans="1:18" x14ac:dyDescent="0.2">
      <c r="A177" s="6" t="str">
        <f>+A6</f>
        <v>NEWFOUNDLAND AND LABRADOR HYDRO</v>
      </c>
      <c r="B177" s="6"/>
      <c r="C177" s="6"/>
      <c r="D177" s="6"/>
      <c r="E177" s="6"/>
      <c r="F177" s="6"/>
      <c r="G177" s="6"/>
      <c r="H177" s="6"/>
      <c r="I177" s="6"/>
    </row>
    <row r="178" spans="1:18" x14ac:dyDescent="0.2">
      <c r="A178" s="6" t="str">
        <f>RunName</f>
        <v>2027 Test Year Cost of Service Study</v>
      </c>
      <c r="B178" s="6"/>
      <c r="C178" s="6"/>
      <c r="D178" s="6"/>
      <c r="E178" s="6"/>
      <c r="F178" s="6"/>
      <c r="G178" s="6"/>
      <c r="H178" s="6"/>
      <c r="I178" s="6"/>
    </row>
    <row r="179" spans="1:18" x14ac:dyDescent="0.2">
      <c r="A179" s="6" t="s">
        <v>66</v>
      </c>
      <c r="B179" s="6"/>
      <c r="C179" s="6"/>
      <c r="D179" s="6"/>
      <c r="E179" s="6"/>
      <c r="F179" s="6"/>
      <c r="G179" s="6"/>
      <c r="H179" s="6"/>
      <c r="I179" s="6"/>
    </row>
    <row r="180" spans="1:18" x14ac:dyDescent="0.2">
      <c r="A180" s="6" t="s">
        <v>9</v>
      </c>
      <c r="B180" s="6"/>
      <c r="C180" s="6"/>
      <c r="D180" s="6"/>
      <c r="E180" s="6"/>
      <c r="F180" s="6"/>
      <c r="G180" s="6"/>
      <c r="H180" s="6"/>
      <c r="I180" s="6"/>
    </row>
    <row r="181" spans="1:18" s="1" customFormat="1" x14ac:dyDescent="0.2"/>
    <row r="182" spans="1:18" s="1" customFormat="1" x14ac:dyDescent="0.2">
      <c r="B182" s="1">
        <f t="shared" ref="B182:I182" si="61">MAX(A182)+NoOne</f>
        <v>1</v>
      </c>
      <c r="C182" s="1">
        <f t="shared" si="61"/>
        <v>2</v>
      </c>
      <c r="D182" s="1">
        <f t="shared" si="61"/>
        <v>3</v>
      </c>
      <c r="E182" s="1">
        <f t="shared" si="61"/>
        <v>4</v>
      </c>
      <c r="F182" s="1">
        <f t="shared" si="61"/>
        <v>5</v>
      </c>
      <c r="G182" s="1">
        <f t="shared" si="61"/>
        <v>6</v>
      </c>
      <c r="H182" s="1">
        <v>6</v>
      </c>
      <c r="I182" s="1">
        <f t="shared" si="61"/>
        <v>7</v>
      </c>
    </row>
    <row r="183" spans="1:18" s="1" customFormat="1" x14ac:dyDescent="0.2"/>
    <row r="184" spans="1:18" x14ac:dyDescent="0.2">
      <c r="B184" s="1"/>
      <c r="C184" s="1"/>
      <c r="D184" s="8" t="s">
        <v>12</v>
      </c>
      <c r="E184" s="1"/>
      <c r="F184" s="1"/>
      <c r="H184" s="8" t="s">
        <v>13</v>
      </c>
      <c r="I184" s="1" t="s">
        <v>14</v>
      </c>
    </row>
    <row r="185" spans="1:18" x14ac:dyDescent="0.2">
      <c r="A185" s="1" t="s">
        <v>17</v>
      </c>
      <c r="B185" s="1"/>
      <c r="C185" s="1"/>
      <c r="D185" s="1" t="s">
        <v>18</v>
      </c>
      <c r="E185" s="1" t="s">
        <v>14</v>
      </c>
      <c r="F185" s="1"/>
      <c r="G185" s="8" t="s">
        <v>19</v>
      </c>
      <c r="H185" s="8" t="s">
        <v>20</v>
      </c>
      <c r="I185" s="1" t="s">
        <v>21</v>
      </c>
    </row>
    <row r="186" spans="1:18" ht="13.5" customHeight="1" x14ac:dyDescent="0.2">
      <c r="A186" s="1" t="s">
        <v>25</v>
      </c>
      <c r="B186" s="1" t="s">
        <v>26</v>
      </c>
      <c r="C186" s="1" t="s">
        <v>27</v>
      </c>
      <c r="D186" s="1" t="s">
        <v>28</v>
      </c>
      <c r="E186" s="1" t="s">
        <v>71</v>
      </c>
      <c r="F186" s="1" t="s">
        <v>30</v>
      </c>
      <c r="G186" s="1" t="s">
        <v>31</v>
      </c>
      <c r="H186" s="1" t="s">
        <v>28</v>
      </c>
      <c r="I186" s="1" t="s">
        <v>32</v>
      </c>
    </row>
    <row r="187" spans="1:18" ht="13.5" customHeight="1" x14ac:dyDescent="0.2">
      <c r="B187" s="1"/>
      <c r="C187" s="1"/>
      <c r="D187" s="1"/>
      <c r="E187" s="1"/>
      <c r="F187" s="1"/>
      <c r="H187" s="11" t="s">
        <v>38</v>
      </c>
      <c r="I187" s="1" t="s">
        <v>39</v>
      </c>
    </row>
    <row r="188" spans="1:18" ht="13.5" customHeight="1" x14ac:dyDescent="0.2">
      <c r="C188" s="1" t="s">
        <v>40</v>
      </c>
      <c r="D188" s="1" t="s">
        <v>40</v>
      </c>
      <c r="E188" s="1" t="s">
        <v>40</v>
      </c>
      <c r="F188" s="1" t="s">
        <v>40</v>
      </c>
      <c r="G188" s="1" t="s">
        <v>40</v>
      </c>
      <c r="H188" s="1" t="s">
        <v>40</v>
      </c>
      <c r="R188" s="1"/>
    </row>
    <row r="190" spans="1:18" x14ac:dyDescent="0.2">
      <c r="B190" s="16" t="s">
        <v>66</v>
      </c>
    </row>
    <row r="191" spans="1:18" ht="15" x14ac:dyDescent="0.25">
      <c r="A191" s="1">
        <f t="shared" ref="A191" si="62">MAX(A188:A190)+NoOne</f>
        <v>1</v>
      </c>
      <c r="B191" s="2" t="s">
        <v>79</v>
      </c>
      <c r="C191" s="52">
        <v>828511.29480396374</v>
      </c>
      <c r="D191" s="14">
        <v>2224303.689135131</v>
      </c>
      <c r="E191" s="14"/>
      <c r="F191" s="14">
        <f>C191-D191</f>
        <v>-1395792.3943311672</v>
      </c>
      <c r="G191" s="14"/>
      <c r="H191" s="14">
        <f t="shared" ref="H191:H196" si="63">SUM(D191,F191)</f>
        <v>828511.29480396374</v>
      </c>
      <c r="I191" s="53">
        <f t="shared" ref="I191:I196" si="64">IF(D191&lt;&gt;0,C191/D191,0)</f>
        <v>0.37248119438497679</v>
      </c>
      <c r="K191" s="2" t="s">
        <v>132</v>
      </c>
    </row>
    <row r="192" spans="1:18" ht="15" x14ac:dyDescent="0.25">
      <c r="A192" s="1">
        <f t="shared" ref="A192" si="65">MAX(A189:A191)+NoOne</f>
        <v>2</v>
      </c>
      <c r="B192" s="2" t="s">
        <v>81</v>
      </c>
      <c r="C192" s="52">
        <v>1782546.8304509185</v>
      </c>
      <c r="D192" s="14">
        <v>4421636.5928514004</v>
      </c>
      <c r="E192" s="14"/>
      <c r="F192" s="14">
        <f t="shared" ref="F192:F198" si="66">C192-D192</f>
        <v>-2639089.7624004818</v>
      </c>
      <c r="G192" s="14"/>
      <c r="H192" s="14">
        <f t="shared" si="63"/>
        <v>1782546.8304509185</v>
      </c>
      <c r="I192" s="53">
        <f t="shared" si="64"/>
        <v>0.40314186682207631</v>
      </c>
      <c r="K192" s="2" t="s">
        <v>133</v>
      </c>
    </row>
    <row r="193" spans="1:11" ht="15" x14ac:dyDescent="0.25">
      <c r="A193" s="1">
        <f t="shared" ref="A193" si="67">MAX(A190:A192)+NoOne</f>
        <v>3</v>
      </c>
      <c r="B193" s="2" t="s">
        <v>85</v>
      </c>
      <c r="C193" s="52">
        <v>1046117.9889364933</v>
      </c>
      <c r="D193" s="14">
        <v>2332949.6198429321</v>
      </c>
      <c r="E193" s="14"/>
      <c r="F193" s="14">
        <f t="shared" si="66"/>
        <v>-1286831.6309064389</v>
      </c>
      <c r="G193" s="14"/>
      <c r="H193" s="14">
        <f t="shared" si="63"/>
        <v>1046117.9889364932</v>
      </c>
      <c r="I193" s="53">
        <f t="shared" si="64"/>
        <v>0.44841002139039937</v>
      </c>
      <c r="K193" s="2" t="s">
        <v>134</v>
      </c>
    </row>
    <row r="194" spans="1:11" ht="15" x14ac:dyDescent="0.25">
      <c r="A194" s="1">
        <f t="shared" ref="A194" si="68">MAX(A191:A193)+NoOne</f>
        <v>4</v>
      </c>
      <c r="B194" s="2" t="s">
        <v>87</v>
      </c>
      <c r="C194" s="52">
        <v>0</v>
      </c>
      <c r="D194" s="14">
        <v>0</v>
      </c>
      <c r="E194" s="14"/>
      <c r="F194" s="14">
        <f t="shared" si="66"/>
        <v>0</v>
      </c>
      <c r="G194" s="14"/>
      <c r="H194" s="14">
        <f t="shared" si="63"/>
        <v>0</v>
      </c>
      <c r="I194" s="53">
        <f t="shared" si="64"/>
        <v>0</v>
      </c>
      <c r="K194" s="2" t="s">
        <v>135</v>
      </c>
    </row>
    <row r="195" spans="1:11" ht="15" x14ac:dyDescent="0.25">
      <c r="A195" s="1">
        <f t="shared" ref="A195" si="69">MAX(A192:A194)+NoOne</f>
        <v>5</v>
      </c>
      <c r="B195" s="2" t="s">
        <v>89</v>
      </c>
      <c r="C195" s="52">
        <v>354037.29560906265</v>
      </c>
      <c r="D195" s="14">
        <v>690869.19849230337</v>
      </c>
      <c r="E195" s="14"/>
      <c r="F195" s="14">
        <f t="shared" si="66"/>
        <v>-336831.90288324072</v>
      </c>
      <c r="G195" s="14"/>
      <c r="H195" s="14">
        <f t="shared" si="63"/>
        <v>354037.29560906265</v>
      </c>
      <c r="I195" s="53">
        <f t="shared" si="64"/>
        <v>0.51245199001733588</v>
      </c>
      <c r="K195" s="2" t="s">
        <v>136</v>
      </c>
    </row>
    <row r="196" spans="1:11" ht="15" x14ac:dyDescent="0.25">
      <c r="A196" s="1">
        <f t="shared" ref="A196" si="70">MAX(A193:A195)+NoOne</f>
        <v>6</v>
      </c>
      <c r="B196" s="2" t="s">
        <v>93</v>
      </c>
      <c r="C196" s="52">
        <v>65923.096800000043</v>
      </c>
      <c r="D196" s="14">
        <v>88736.764789395194</v>
      </c>
      <c r="E196" s="62"/>
      <c r="F196" s="62">
        <f t="shared" si="66"/>
        <v>-22813.667989395151</v>
      </c>
      <c r="G196" s="14"/>
      <c r="H196" s="62">
        <f t="shared" si="63"/>
        <v>65923.096800000043</v>
      </c>
      <c r="I196" s="53">
        <f t="shared" si="64"/>
        <v>0.74290624586618259</v>
      </c>
      <c r="K196" s="2" t="s">
        <v>137</v>
      </c>
    </row>
    <row r="197" spans="1:11" x14ac:dyDescent="0.2">
      <c r="C197" s="36"/>
      <c r="D197" s="36"/>
      <c r="E197" s="36"/>
      <c r="F197" s="43"/>
      <c r="H197" s="36"/>
      <c r="I197" s="54"/>
    </row>
    <row r="198" spans="1:11" ht="13.5" thickBot="1" x14ac:dyDescent="0.25">
      <c r="A198" s="1">
        <v>7</v>
      </c>
      <c r="B198" s="16" t="s">
        <v>138</v>
      </c>
      <c r="C198" s="60">
        <f>SUM(C191:C196)</f>
        <v>4077136.5066004382</v>
      </c>
      <c r="D198" s="60">
        <f>SUM(D191:D196)</f>
        <v>9758495.865111161</v>
      </c>
      <c r="E198" s="60"/>
      <c r="F198" s="60">
        <f t="shared" si="66"/>
        <v>-5681359.3585107233</v>
      </c>
      <c r="G198" s="60"/>
      <c r="H198" s="63">
        <f>SUM(H191:H196)</f>
        <v>4077136.5066004382</v>
      </c>
      <c r="I198" s="61">
        <f>IF(D198&lt;&gt;0,C198/D198,0)</f>
        <v>0.41780378482068403</v>
      </c>
    </row>
    <row r="199" spans="1:11" ht="13.5" thickTop="1" x14ac:dyDescent="0.2"/>
    <row r="205" spans="1:11" x14ac:dyDescent="0.2">
      <c r="I205" s="4" t="s">
        <v>207</v>
      </c>
    </row>
    <row r="206" spans="1:11" x14ac:dyDescent="0.2">
      <c r="I206" s="4" t="s">
        <v>139</v>
      </c>
    </row>
    <row r="207" spans="1:11" x14ac:dyDescent="0.2">
      <c r="I207" s="5"/>
    </row>
    <row r="208" spans="1:11" x14ac:dyDescent="0.2">
      <c r="A208" s="6" t="str">
        <f>+A6</f>
        <v>NEWFOUNDLAND AND LABRADOR HYDRO</v>
      </c>
      <c r="B208" s="6"/>
      <c r="C208" s="6"/>
      <c r="D208" s="6"/>
      <c r="E208" s="6"/>
      <c r="F208" s="6"/>
      <c r="G208" s="6"/>
      <c r="H208" s="6"/>
      <c r="I208" s="6"/>
    </row>
    <row r="209" spans="1:18" x14ac:dyDescent="0.2">
      <c r="A209" s="6" t="str">
        <f>RunName</f>
        <v>2027 Test Year Cost of Service Study</v>
      </c>
      <c r="B209" s="6"/>
      <c r="C209" s="6"/>
      <c r="D209" s="6"/>
      <c r="E209" s="6"/>
      <c r="F209" s="6"/>
      <c r="G209" s="6"/>
      <c r="H209" s="6"/>
      <c r="I209" s="6"/>
    </row>
    <row r="210" spans="1:18" x14ac:dyDescent="0.2">
      <c r="A210" s="6" t="s">
        <v>140</v>
      </c>
      <c r="B210" s="6"/>
      <c r="C210" s="6"/>
      <c r="D210" s="6"/>
      <c r="E210" s="6"/>
      <c r="F210" s="6"/>
      <c r="G210" s="6"/>
      <c r="H210" s="6"/>
      <c r="I210" s="6"/>
    </row>
    <row r="211" spans="1:18" x14ac:dyDescent="0.2">
      <c r="A211" s="6" t="s">
        <v>9</v>
      </c>
      <c r="B211" s="6"/>
      <c r="C211" s="6"/>
      <c r="D211" s="6"/>
      <c r="E211" s="6"/>
      <c r="F211" s="6"/>
      <c r="G211" s="6"/>
      <c r="H211" s="6"/>
      <c r="I211" s="6"/>
    </row>
    <row r="212" spans="1:18" x14ac:dyDescent="0.2">
      <c r="B212" s="1">
        <f t="shared" ref="B212:I212" si="71">MAX(A212)+NoOne</f>
        <v>1</v>
      </c>
      <c r="C212" s="1">
        <f t="shared" si="71"/>
        <v>2</v>
      </c>
      <c r="D212" s="1">
        <f t="shared" si="71"/>
        <v>3</v>
      </c>
      <c r="E212" s="1">
        <f t="shared" si="71"/>
        <v>4</v>
      </c>
      <c r="F212" s="1">
        <f t="shared" si="71"/>
        <v>5</v>
      </c>
      <c r="G212" s="1">
        <f t="shared" si="71"/>
        <v>6</v>
      </c>
      <c r="H212" s="1">
        <v>6</v>
      </c>
      <c r="I212" s="1">
        <f t="shared" si="71"/>
        <v>7</v>
      </c>
    </row>
    <row r="213" spans="1:18" x14ac:dyDescent="0.2">
      <c r="G213" s="1"/>
      <c r="H213" s="1"/>
      <c r="I213" s="1"/>
    </row>
    <row r="214" spans="1:18" x14ac:dyDescent="0.2">
      <c r="B214" s="1"/>
      <c r="C214" s="1"/>
      <c r="D214" s="8" t="s">
        <v>12</v>
      </c>
      <c r="E214" s="1"/>
      <c r="F214" s="1"/>
      <c r="H214" s="8" t="s">
        <v>13</v>
      </c>
      <c r="I214" s="1" t="s">
        <v>14</v>
      </c>
    </row>
    <row r="215" spans="1:18" x14ac:dyDescent="0.2">
      <c r="A215" s="1" t="s">
        <v>17</v>
      </c>
      <c r="B215" s="1"/>
      <c r="C215" s="1"/>
      <c r="D215" s="1" t="s">
        <v>18</v>
      </c>
      <c r="E215" s="1" t="s">
        <v>14</v>
      </c>
      <c r="F215" s="1" t="s">
        <v>30</v>
      </c>
      <c r="G215" s="8" t="s">
        <v>19</v>
      </c>
      <c r="H215" s="8" t="s">
        <v>20</v>
      </c>
      <c r="I215" s="1" t="s">
        <v>21</v>
      </c>
    </row>
    <row r="216" spans="1:18" x14ac:dyDescent="0.2">
      <c r="A216" s="1" t="s">
        <v>25</v>
      </c>
      <c r="B216" s="1" t="s">
        <v>26</v>
      </c>
      <c r="C216" s="1" t="s">
        <v>27</v>
      </c>
      <c r="D216" s="1" t="s">
        <v>28</v>
      </c>
      <c r="E216" s="1" t="s">
        <v>71</v>
      </c>
      <c r="F216" s="1" t="s">
        <v>72</v>
      </c>
      <c r="G216" s="1" t="s">
        <v>31</v>
      </c>
      <c r="H216" s="1" t="s">
        <v>28</v>
      </c>
      <c r="I216" s="1" t="s">
        <v>32</v>
      </c>
      <c r="R216" s="1"/>
    </row>
    <row r="217" spans="1:18" ht="15" x14ac:dyDescent="0.25">
      <c r="B217" s="1"/>
      <c r="C217" s="64"/>
      <c r="D217" s="64"/>
      <c r="E217" s="64"/>
      <c r="F217" s="64"/>
      <c r="H217" s="11" t="s">
        <v>38</v>
      </c>
      <c r="I217" s="1" t="s">
        <v>39</v>
      </c>
    </row>
    <row r="218" spans="1:18" ht="15" x14ac:dyDescent="0.25">
      <c r="B218" s="1"/>
      <c r="C218" s="64" t="s">
        <v>40</v>
      </c>
      <c r="D218" s="64" t="s">
        <v>40</v>
      </c>
      <c r="E218" s="64" t="s">
        <v>40</v>
      </c>
      <c r="F218" s="64" t="s">
        <v>40</v>
      </c>
      <c r="G218" s="1" t="s">
        <v>40</v>
      </c>
      <c r="H218" s="1" t="s">
        <v>40</v>
      </c>
      <c r="I218" s="1"/>
    </row>
    <row r="219" spans="1:18" ht="15" x14ac:dyDescent="0.25">
      <c r="B219" s="16" t="s">
        <v>140</v>
      </c>
      <c r="C219" s="53"/>
      <c r="D219" s="53"/>
      <c r="E219" s="53"/>
      <c r="F219" s="53"/>
      <c r="H219" s="53"/>
    </row>
    <row r="220" spans="1:18" ht="15" x14ac:dyDescent="0.25">
      <c r="A220" s="1">
        <v>1</v>
      </c>
      <c r="B220" s="2" t="s">
        <v>141</v>
      </c>
      <c r="C220" s="65">
        <v>9171997.7922488302</v>
      </c>
      <c r="D220" s="14">
        <v>9172199.8960632775</v>
      </c>
      <c r="E220" s="14"/>
      <c r="F220" s="20">
        <f>$F$27*(D220/SUM($D$220:$D$221))</f>
        <v>0</v>
      </c>
      <c r="G220" s="14"/>
      <c r="H220" s="14">
        <f>SUM(D220:F220)</f>
        <v>9172199.8960632775</v>
      </c>
      <c r="I220" s="53">
        <f t="shared" ref="I220:I221" si="72">IF(H220&lt;&gt;0,C220/H220,0)</f>
        <v>0.99997796561165941</v>
      </c>
      <c r="J220" s="13"/>
      <c r="K220" s="13"/>
      <c r="L220" s="13"/>
    </row>
    <row r="221" spans="1:18" ht="15" x14ac:dyDescent="0.25">
      <c r="A221" s="1">
        <v>2</v>
      </c>
      <c r="B221" s="2" t="s">
        <v>142</v>
      </c>
      <c r="C221" s="20">
        <f>+D221</f>
        <v>0</v>
      </c>
      <c r="D221" s="14">
        <v>0</v>
      </c>
      <c r="E221" s="14"/>
      <c r="F221" s="20">
        <f>$F$27*(D221/SUM($D$220:$D$221))</f>
        <v>0</v>
      </c>
      <c r="G221" s="14"/>
      <c r="H221" s="14">
        <f>SUM(D221:F221)</f>
        <v>0</v>
      </c>
      <c r="I221" s="53">
        <f t="shared" si="72"/>
        <v>0</v>
      </c>
    </row>
    <row r="222" spans="1:18" ht="15" x14ac:dyDescent="0.25">
      <c r="C222" s="20"/>
      <c r="D222" s="14"/>
      <c r="E222" s="14"/>
      <c r="F222" s="20"/>
      <c r="H222" s="14"/>
      <c r="I222" s="54"/>
    </row>
    <row r="223" spans="1:18" x14ac:dyDescent="0.2">
      <c r="A223" s="1">
        <v>3</v>
      </c>
      <c r="B223" s="16" t="s">
        <v>77</v>
      </c>
      <c r="C223" s="31">
        <f>+C220+C221+C222</f>
        <v>9171997.7922488302</v>
      </c>
      <c r="D223" s="31">
        <f>+D220+D221+D222</f>
        <v>9172199.8960632775</v>
      </c>
      <c r="E223" s="31">
        <f>+E220+E221+E222</f>
        <v>0</v>
      </c>
      <c r="F223" s="31">
        <f>+F220+F221</f>
        <v>0</v>
      </c>
      <c r="G223" s="31"/>
      <c r="H223" s="31">
        <f>+H220+H221+H222</f>
        <v>9172199.8960632775</v>
      </c>
      <c r="I223" s="32"/>
    </row>
    <row r="224" spans="1:18" ht="15" x14ac:dyDescent="0.25">
      <c r="C224" s="20"/>
      <c r="D224" s="14"/>
      <c r="E224" s="14"/>
      <c r="F224" s="20"/>
      <c r="H224" s="14"/>
      <c r="I224" s="54"/>
    </row>
    <row r="225" spans="1:14" ht="15" x14ac:dyDescent="0.25">
      <c r="A225" s="1">
        <v>4</v>
      </c>
      <c r="B225" s="2" t="s">
        <v>54</v>
      </c>
      <c r="C225" s="66">
        <v>0</v>
      </c>
      <c r="D225" s="28">
        <v>0</v>
      </c>
      <c r="E225" s="28">
        <f>+E246</f>
        <v>0</v>
      </c>
      <c r="F225" s="28">
        <v>0</v>
      </c>
      <c r="H225" s="28">
        <f>SUM(D225:F225)</f>
        <v>0</v>
      </c>
      <c r="I225" s="53">
        <f>IF(H225&lt;&gt;0,C225/H225,0)</f>
        <v>0</v>
      </c>
    </row>
    <row r="226" spans="1:14" ht="15" x14ac:dyDescent="0.25">
      <c r="C226" s="67"/>
      <c r="D226" s="14"/>
      <c r="E226" s="14"/>
      <c r="F226" s="20"/>
      <c r="H226" s="14"/>
      <c r="I226" s="54"/>
    </row>
    <row r="227" spans="1:14" ht="15" x14ac:dyDescent="0.25">
      <c r="B227" s="16" t="s">
        <v>78</v>
      </c>
      <c r="C227" s="14"/>
      <c r="D227" s="14"/>
      <c r="E227" s="14"/>
      <c r="F227" s="20"/>
      <c r="H227" s="14"/>
    </row>
    <row r="228" spans="1:14" ht="15" x14ac:dyDescent="0.25">
      <c r="A228" s="1">
        <f t="shared" ref="A228" si="73">MAX(A225:A227)+NoOne</f>
        <v>5</v>
      </c>
      <c r="B228" s="2" t="s">
        <v>143</v>
      </c>
      <c r="C228" s="52">
        <v>106056.57772090579</v>
      </c>
      <c r="D228" s="14">
        <v>206447.62225798349</v>
      </c>
      <c r="E228" s="14">
        <f t="shared" ref="E228:E234" si="74">-$E$249*(D228/$D$236)</f>
        <v>0</v>
      </c>
      <c r="F228" s="33">
        <f t="shared" ref="F228:F234" si="75">(D228/$D$236)*$F$29</f>
        <v>22577.867162907249</v>
      </c>
      <c r="H228" s="14">
        <f t="shared" ref="H228:H234" si="76">SUM(D228:F228)</f>
        <v>229025.48942089075</v>
      </c>
      <c r="I228" s="53">
        <f>IF(H228&lt;&gt;0,C228/H228,0)</f>
        <v>0.46307761633466354</v>
      </c>
      <c r="K228" s="17" t="s">
        <v>144</v>
      </c>
      <c r="L228" s="17"/>
      <c r="M228" s="17"/>
    </row>
    <row r="229" spans="1:14" ht="15" x14ac:dyDescent="0.25">
      <c r="A229" s="1">
        <f t="shared" ref="A229" si="77">MAX(A226:A228)+NoOne</f>
        <v>6</v>
      </c>
      <c r="B229" s="2" t="s">
        <v>145</v>
      </c>
      <c r="C229" s="52">
        <v>11783491.397883454</v>
      </c>
      <c r="D229" s="14">
        <v>12172687.442218101</v>
      </c>
      <c r="E229" s="14">
        <f t="shared" si="74"/>
        <v>0</v>
      </c>
      <c r="F229" s="20">
        <f t="shared" si="75"/>
        <v>1331249.6268063048</v>
      </c>
      <c r="H229" s="14">
        <f t="shared" si="76"/>
        <v>13503937.069024406</v>
      </c>
      <c r="I229" s="53">
        <f t="shared" ref="I229:I234" si="78">IF(H229&lt;&gt;0,C229/H229,0)</f>
        <v>0.87259673513383418</v>
      </c>
      <c r="K229" s="17" t="s">
        <v>146</v>
      </c>
      <c r="L229" s="17"/>
      <c r="M229" s="17"/>
    </row>
    <row r="230" spans="1:14" ht="15" x14ac:dyDescent="0.25">
      <c r="A230" s="1">
        <f t="shared" ref="A230" si="79">MAX(A227:A229)+NoOne</f>
        <v>7</v>
      </c>
      <c r="B230" s="2" t="s">
        <v>104</v>
      </c>
      <c r="C230" s="52">
        <v>302008.10249600926</v>
      </c>
      <c r="D230" s="14">
        <v>302668.04169709131</v>
      </c>
      <c r="E230" s="14">
        <f t="shared" si="74"/>
        <v>0</v>
      </c>
      <c r="F230" s="20">
        <f t="shared" si="75"/>
        <v>33100.884210498283</v>
      </c>
      <c r="H230" s="14">
        <f t="shared" si="76"/>
        <v>335768.92590758961</v>
      </c>
      <c r="I230" s="53">
        <f t="shared" si="78"/>
        <v>0.89945221011645371</v>
      </c>
      <c r="K230" s="17" t="s">
        <v>147</v>
      </c>
      <c r="L230" s="17"/>
      <c r="M230" s="17"/>
      <c r="N230" s="17"/>
    </row>
    <row r="231" spans="1:14" ht="15" x14ac:dyDescent="0.25">
      <c r="A231" s="1">
        <f t="shared" ref="A231" si="80">MAX(A228:A230)+NoOne</f>
        <v>8</v>
      </c>
      <c r="B231" s="2" t="s">
        <v>87</v>
      </c>
      <c r="C231" s="52">
        <v>2488347.116955772</v>
      </c>
      <c r="D231" s="14">
        <v>1963428.7597446749</v>
      </c>
      <c r="E231" s="14">
        <f t="shared" si="74"/>
        <v>0</v>
      </c>
      <c r="F231" s="20">
        <f t="shared" si="75"/>
        <v>214727.75145819207</v>
      </c>
      <c r="H231" s="14">
        <f t="shared" si="76"/>
        <v>2178156.5112028671</v>
      </c>
      <c r="I231" s="53">
        <f t="shared" si="78"/>
        <v>1.1424096956107186</v>
      </c>
      <c r="K231" s="17" t="s">
        <v>148</v>
      </c>
      <c r="L231" s="17"/>
      <c r="M231" s="17"/>
    </row>
    <row r="232" spans="1:14" ht="15" x14ac:dyDescent="0.25">
      <c r="A232" s="1">
        <f t="shared" ref="A232" si="81">MAX(A229:A231)+NoOne</f>
        <v>9</v>
      </c>
      <c r="B232" s="2" t="s">
        <v>89</v>
      </c>
      <c r="C232" s="52">
        <v>4254475.8751962688</v>
      </c>
      <c r="D232" s="14">
        <v>2864081.8364553126</v>
      </c>
      <c r="E232" s="14">
        <f t="shared" si="74"/>
        <v>0</v>
      </c>
      <c r="F232" s="20">
        <f t="shared" si="75"/>
        <v>313226.46654838306</v>
      </c>
      <c r="H232" s="14">
        <f t="shared" si="76"/>
        <v>3177308.3030036958</v>
      </c>
      <c r="I232" s="53">
        <f t="shared" si="78"/>
        <v>1.3390189019977266</v>
      </c>
      <c r="K232" s="17" t="s">
        <v>149</v>
      </c>
      <c r="L232" s="17"/>
      <c r="M232" s="17"/>
    </row>
    <row r="233" spans="1:14" ht="15" x14ac:dyDescent="0.25">
      <c r="A233" s="1">
        <f t="shared" ref="A233" si="82">MAX(A230:A232)+NoOne</f>
        <v>10</v>
      </c>
      <c r="B233" s="2" t="s">
        <v>91</v>
      </c>
      <c r="C233" s="52">
        <v>2903848.6890631756</v>
      </c>
      <c r="D233" s="14">
        <v>2090121.3207885535</v>
      </c>
      <c r="E233" s="14">
        <f t="shared" si="74"/>
        <v>0</v>
      </c>
      <c r="F233" s="20">
        <f t="shared" si="75"/>
        <v>228583.31337986296</v>
      </c>
      <c r="H233" s="14">
        <f t="shared" si="76"/>
        <v>2318704.6341684163</v>
      </c>
      <c r="I233" s="53">
        <f t="shared" si="78"/>
        <v>1.2523581685532863</v>
      </c>
      <c r="K233" s="17" t="s">
        <v>150</v>
      </c>
      <c r="L233" s="17"/>
      <c r="M233" s="17"/>
    </row>
    <row r="234" spans="1:14" ht="15" x14ac:dyDescent="0.25">
      <c r="A234" s="1">
        <f t="shared" ref="A234" si="83">MAX(A231:A233)+NoOne</f>
        <v>11</v>
      </c>
      <c r="B234" s="2" t="s">
        <v>93</v>
      </c>
      <c r="C234" s="52">
        <v>392808</v>
      </c>
      <c r="D234" s="14">
        <v>439584.88334692374</v>
      </c>
      <c r="E234" s="14">
        <f t="shared" si="74"/>
        <v>0</v>
      </c>
      <c r="F234" s="20">
        <f t="shared" si="75"/>
        <v>48074.610860019828</v>
      </c>
      <c r="H234" s="14">
        <f t="shared" si="76"/>
        <v>487659.49420694355</v>
      </c>
      <c r="I234" s="53">
        <f t="shared" si="78"/>
        <v>0.80549646765065896</v>
      </c>
      <c r="K234" s="17" t="s">
        <v>151</v>
      </c>
      <c r="L234" s="17"/>
      <c r="M234" s="17"/>
    </row>
    <row r="235" spans="1:14" ht="15" x14ac:dyDescent="0.25">
      <c r="C235" s="62"/>
      <c r="D235" s="62"/>
      <c r="E235" s="62"/>
      <c r="F235" s="28"/>
      <c r="H235" s="62"/>
      <c r="I235" s="54"/>
      <c r="M235" s="54"/>
    </row>
    <row r="236" spans="1:14" x14ac:dyDescent="0.2">
      <c r="A236" s="1">
        <v>12</v>
      </c>
      <c r="B236" s="16" t="s">
        <v>95</v>
      </c>
      <c r="C236" s="31">
        <f>SUM(C228:C234)</f>
        <v>22231035.759315588</v>
      </c>
      <c r="D236" s="31">
        <f>SUM(D228:D234)</f>
        <v>20039019.906508639</v>
      </c>
      <c r="E236" s="31">
        <f>SUM(E228:E234)</f>
        <v>0</v>
      </c>
      <c r="F236" s="31">
        <f>SUM(F228:F234)</f>
        <v>2191540.5204261681</v>
      </c>
      <c r="G236" s="31"/>
      <c r="H236" s="31">
        <f>SUM(D236:F236)</f>
        <v>22230560.426934808</v>
      </c>
      <c r="I236" s="32"/>
      <c r="M236" s="54"/>
    </row>
    <row r="237" spans="1:14" ht="13.5" thickBot="1" x14ac:dyDescent="0.25">
      <c r="A237" s="1">
        <v>13</v>
      </c>
      <c r="B237" s="16" t="s">
        <v>152</v>
      </c>
      <c r="C237" s="34">
        <f>+C236+C225+C223</f>
        <v>31403033.551564418</v>
      </c>
      <c r="D237" s="34">
        <f>+D236+D225+D223</f>
        <v>29211219.802571915</v>
      </c>
      <c r="E237" s="34">
        <f>+E236+E225+E223</f>
        <v>0</v>
      </c>
      <c r="F237" s="34">
        <f>+F236+F225+F223</f>
        <v>2191540.5204261681</v>
      </c>
      <c r="G237" s="34"/>
      <c r="H237" s="34">
        <f>SUM(D237:F237)</f>
        <v>31402760.322998084</v>
      </c>
      <c r="I237" s="35"/>
    </row>
    <row r="238" spans="1:14" ht="13.5" thickTop="1" x14ac:dyDescent="0.2"/>
    <row r="239" spans="1:14" x14ac:dyDescent="0.2">
      <c r="B239" s="2" t="s">
        <v>153</v>
      </c>
    </row>
    <row r="240" spans="1:14" x14ac:dyDescent="0.2">
      <c r="B240" s="2" t="s">
        <v>154</v>
      </c>
      <c r="C240" s="13"/>
      <c r="D240" s="13"/>
      <c r="E240" s="13"/>
      <c r="F240" s="13"/>
      <c r="G240" s="13"/>
    </row>
    <row r="241" spans="1:18" x14ac:dyDescent="0.2">
      <c r="C241" s="13"/>
      <c r="D241" s="13"/>
      <c r="E241" s="13"/>
      <c r="F241" s="13"/>
      <c r="G241" s="13"/>
    </row>
    <row r="242" spans="1:18" x14ac:dyDescent="0.2">
      <c r="B242" s="23" t="s">
        <v>155</v>
      </c>
      <c r="C242" s="13"/>
      <c r="D242" s="13"/>
      <c r="E242" s="13"/>
      <c r="F242" s="13"/>
      <c r="G242" s="13"/>
    </row>
    <row r="243" spans="1:18" x14ac:dyDescent="0.2">
      <c r="B243" s="41" t="s">
        <v>156</v>
      </c>
      <c r="C243" s="13"/>
      <c r="E243" s="13">
        <f>+C225</f>
        <v>0</v>
      </c>
      <c r="F243" s="13"/>
      <c r="G243" s="13"/>
    </row>
    <row r="244" spans="1:18" x14ac:dyDescent="0.2">
      <c r="B244" s="41" t="s">
        <v>157</v>
      </c>
      <c r="C244" s="13"/>
      <c r="E244" s="13">
        <f>-D225</f>
        <v>0</v>
      </c>
      <c r="F244" s="13"/>
      <c r="G244" s="13"/>
      <c r="R244" s="1"/>
    </row>
    <row r="245" spans="1:18" x14ac:dyDescent="0.2">
      <c r="B245" s="41" t="s">
        <v>158</v>
      </c>
      <c r="C245" s="13"/>
      <c r="E245" s="13">
        <v>0</v>
      </c>
      <c r="F245" s="13"/>
      <c r="G245" s="13"/>
    </row>
    <row r="246" spans="1:18" ht="13.5" thickBot="1" x14ac:dyDescent="0.25">
      <c r="B246" s="57" t="s">
        <v>159</v>
      </c>
      <c r="E246" s="68">
        <f>SUM(E243:E245)</f>
        <v>0</v>
      </c>
    </row>
    <row r="247" spans="1:18" ht="13.5" thickTop="1" x14ac:dyDescent="0.2">
      <c r="B247" s="57"/>
      <c r="E247" s="13"/>
    </row>
    <row r="248" spans="1:18" x14ac:dyDescent="0.2">
      <c r="B248" s="57" t="s">
        <v>160</v>
      </c>
      <c r="D248" s="69">
        <f>+[3]RunOptions!B18</f>
        <v>1</v>
      </c>
      <c r="E248" s="13">
        <f>+E246*D248</f>
        <v>0</v>
      </c>
    </row>
    <row r="249" spans="1:18" x14ac:dyDescent="0.2">
      <c r="B249" s="57" t="s">
        <v>161</v>
      </c>
      <c r="E249" s="13">
        <f>+E246-E248</f>
        <v>0</v>
      </c>
    </row>
    <row r="250" spans="1:18" ht="13.5" thickBot="1" x14ac:dyDescent="0.25">
      <c r="B250" s="57"/>
      <c r="E250" s="68">
        <f>SUM(E248:E249)</f>
        <v>0</v>
      </c>
    </row>
    <row r="251" spans="1:18" ht="13.5" thickTop="1" x14ac:dyDescent="0.2">
      <c r="H251" s="70" t="s">
        <v>210</v>
      </c>
    </row>
    <row r="252" spans="1:18" x14ac:dyDescent="0.2">
      <c r="G252" s="70"/>
      <c r="H252" s="70" t="s">
        <v>4</v>
      </c>
    </row>
    <row r="253" spans="1:18" x14ac:dyDescent="0.2">
      <c r="G253" s="70"/>
    </row>
    <row r="255" spans="1:18" x14ac:dyDescent="0.2">
      <c r="A255" s="6" t="str">
        <f>+A6</f>
        <v>NEWFOUNDLAND AND LABRADOR HYDRO</v>
      </c>
      <c r="B255" s="6"/>
      <c r="C255" s="6"/>
      <c r="D255" s="6"/>
      <c r="E255" s="6"/>
      <c r="F255" s="6"/>
      <c r="G255" s="6"/>
      <c r="H255" s="6"/>
    </row>
    <row r="256" spans="1:18" x14ac:dyDescent="0.2">
      <c r="A256" s="6" t="str">
        <f>RunName</f>
        <v>2027 Test Year Cost of Service Study</v>
      </c>
      <c r="B256" s="6"/>
      <c r="C256" s="6"/>
      <c r="D256" s="6"/>
      <c r="E256" s="6"/>
      <c r="F256" s="6"/>
      <c r="G256" s="6"/>
      <c r="H256" s="6"/>
    </row>
    <row r="257" spans="1:18" x14ac:dyDescent="0.2">
      <c r="A257" s="6" t="s">
        <v>8</v>
      </c>
      <c r="B257" s="6"/>
      <c r="C257" s="6"/>
      <c r="D257" s="6"/>
      <c r="E257" s="6"/>
      <c r="F257" s="6"/>
      <c r="G257" s="6"/>
      <c r="H257" s="6"/>
    </row>
    <row r="258" spans="1:18" x14ac:dyDescent="0.2">
      <c r="A258" s="6" t="s">
        <v>163</v>
      </c>
      <c r="B258" s="6"/>
      <c r="C258" s="6"/>
      <c r="D258" s="6"/>
      <c r="E258" s="6"/>
      <c r="F258" s="6"/>
      <c r="G258" s="6"/>
      <c r="H258" s="6"/>
    </row>
    <row r="259" spans="1:18" x14ac:dyDescent="0.2">
      <c r="B259" s="42"/>
      <c r="C259" s="42"/>
      <c r="D259" s="42"/>
      <c r="E259" s="42"/>
      <c r="F259" s="42"/>
      <c r="G259" s="42"/>
    </row>
    <row r="260" spans="1:18" s="1" customFormat="1" x14ac:dyDescent="0.2">
      <c r="B260" s="1">
        <f t="shared" ref="B260:C260" si="84">MAX(A260)+NoOne</f>
        <v>1</v>
      </c>
      <c r="C260" s="1">
        <f t="shared" si="84"/>
        <v>2</v>
      </c>
      <c r="F260" s="1">
        <v>3</v>
      </c>
      <c r="H260" s="1">
        <v>4</v>
      </c>
      <c r="I260" s="1">
        <v>5</v>
      </c>
      <c r="J260" s="1">
        <v>6</v>
      </c>
    </row>
    <row r="261" spans="1:18" s="1" customFormat="1" x14ac:dyDescent="0.2"/>
    <row r="262" spans="1:18" s="1" customFormat="1" ht="38.25" x14ac:dyDescent="0.2">
      <c r="C262" s="71" t="s">
        <v>164</v>
      </c>
      <c r="F262" s="72"/>
      <c r="H262" s="72"/>
      <c r="I262" s="72"/>
    </row>
    <row r="263" spans="1:18" x14ac:dyDescent="0.2">
      <c r="A263" s="1" t="s">
        <v>17</v>
      </c>
      <c r="B263" s="1"/>
      <c r="C263" s="1" t="s">
        <v>165</v>
      </c>
      <c r="D263" s="1" t="s">
        <v>166</v>
      </c>
      <c r="E263" s="1" t="s">
        <v>215</v>
      </c>
      <c r="F263" s="1"/>
      <c r="H263" s="1"/>
      <c r="I263" s="1"/>
      <c r="J263" s="1"/>
    </row>
    <row r="264" spans="1:18" x14ac:dyDescent="0.2">
      <c r="A264" s="1" t="s">
        <v>25</v>
      </c>
      <c r="B264" s="1" t="s">
        <v>26</v>
      </c>
      <c r="C264" s="1" t="s">
        <v>167</v>
      </c>
      <c r="D264" s="1" t="s">
        <v>168</v>
      </c>
      <c r="E264" s="1" t="s">
        <v>167</v>
      </c>
      <c r="F264" s="1" t="s">
        <v>36</v>
      </c>
      <c r="H264" s="1" t="s">
        <v>37</v>
      </c>
      <c r="I264" s="1" t="s">
        <v>169</v>
      </c>
      <c r="J264" s="1" t="s">
        <v>170</v>
      </c>
    </row>
    <row r="265" spans="1:18" x14ac:dyDescent="0.2">
      <c r="B265" s="1"/>
      <c r="C265" s="1" t="s">
        <v>40</v>
      </c>
      <c r="D265" s="1" t="s">
        <v>40</v>
      </c>
      <c r="E265" s="1" t="s">
        <v>40</v>
      </c>
      <c r="F265" s="1" t="s">
        <v>40</v>
      </c>
      <c r="H265" s="1" t="s">
        <v>40</v>
      </c>
      <c r="I265" s="1" t="s">
        <v>40</v>
      </c>
      <c r="J265" s="1"/>
    </row>
    <row r="266" spans="1:18" x14ac:dyDescent="0.2">
      <c r="B266" s="1"/>
      <c r="C266" s="1"/>
      <c r="F266" s="1"/>
      <c r="H266" s="1"/>
      <c r="I266" s="1"/>
      <c r="J266" s="1"/>
    </row>
    <row r="267" spans="1:18" x14ac:dyDescent="0.2">
      <c r="B267" s="19" t="s">
        <v>171</v>
      </c>
      <c r="C267" s="1"/>
      <c r="F267" s="1"/>
      <c r="H267" s="1"/>
      <c r="I267" s="1"/>
      <c r="J267" s="1"/>
    </row>
    <row r="268" spans="1:18" ht="15" x14ac:dyDescent="0.25">
      <c r="A268" s="1">
        <v>1</v>
      </c>
      <c r="B268" s="23" t="s">
        <v>172</v>
      </c>
      <c r="C268" s="13">
        <f>SUM(F268:I268)</f>
        <v>574037013.76257312</v>
      </c>
      <c r="D268" s="13"/>
      <c r="E268" s="13">
        <f>SUM(C268:D268)</f>
        <v>574037013.76257312</v>
      </c>
      <c r="F268" s="14">
        <v>344018734.96693635</v>
      </c>
      <c r="H268" s="14">
        <v>227274935.45634991</v>
      </c>
      <c r="I268" s="14">
        <v>2743343.3392869532</v>
      </c>
      <c r="J268" s="2" t="s">
        <v>211</v>
      </c>
    </row>
    <row r="269" spans="1:18" ht="15" x14ac:dyDescent="0.25">
      <c r="A269" s="1">
        <v>2</v>
      </c>
      <c r="B269" s="2" t="s">
        <v>174</v>
      </c>
      <c r="C269" s="13">
        <f>SUM(F269:I269)</f>
        <v>20039019.906508639</v>
      </c>
      <c r="D269" s="13"/>
      <c r="E269" s="13">
        <f>SUM(C269:D269)</f>
        <v>20039019.906508639</v>
      </c>
      <c r="F269" s="13">
        <v>12775025.529698385</v>
      </c>
      <c r="H269" s="14">
        <v>1088077.3977040008</v>
      </c>
      <c r="I269" s="14">
        <v>6175916.9791062539</v>
      </c>
      <c r="J269" s="23" t="s">
        <v>212</v>
      </c>
    </row>
    <row r="270" spans="1:18" x14ac:dyDescent="0.2">
      <c r="C270" s="13"/>
      <c r="D270" s="13"/>
      <c r="E270" s="13"/>
      <c r="F270" s="13"/>
      <c r="H270" s="13"/>
      <c r="I270" s="13"/>
    </row>
    <row r="271" spans="1:18" ht="13.5" thickBot="1" x14ac:dyDescent="0.25">
      <c r="A271" s="1">
        <v>3</v>
      </c>
      <c r="B271" s="16" t="s">
        <v>176</v>
      </c>
      <c r="C271" s="73">
        <f>SUM(C268:C269)</f>
        <v>594076033.66908181</v>
      </c>
      <c r="D271" s="73"/>
      <c r="E271" s="73">
        <f t="shared" ref="E271" si="85">SUM(E268:E269)</f>
        <v>594076033.66908181</v>
      </c>
      <c r="F271" s="73">
        <f>SUM(F268:F269)</f>
        <v>356793760.49663472</v>
      </c>
      <c r="H271" s="73">
        <f>SUM(H268:H269)</f>
        <v>228363012.85405391</v>
      </c>
      <c r="I271" s="73">
        <f>SUM(I268:I269)</f>
        <v>8919260.3183932081</v>
      </c>
    </row>
    <row r="272" spans="1:18" ht="15.75" thickTop="1" x14ac:dyDescent="0.25">
      <c r="A272" s="6"/>
      <c r="H272" s="14"/>
      <c r="I272" s="14"/>
      <c r="R272" s="1"/>
    </row>
    <row r="273" spans="1:10" ht="15" x14ac:dyDescent="0.25">
      <c r="A273" s="1">
        <v>4</v>
      </c>
      <c r="B273" s="2" t="s">
        <v>177</v>
      </c>
      <c r="C273" s="13">
        <f>-1*F38</f>
        <v>64970328.19339557</v>
      </c>
      <c r="D273" s="13">
        <v>0</v>
      </c>
      <c r="E273" s="13">
        <f>SUM(C273:D273)</f>
        <v>64970328.19339557</v>
      </c>
      <c r="F273" s="13">
        <f>E273-SUM(H273:I273)</f>
        <v>39020270.812228471</v>
      </c>
      <c r="H273" s="14">
        <f>H$271/$C$271*$E$273</f>
        <v>24974614.445774879</v>
      </c>
      <c r="I273" s="14">
        <f>I$271/$C$271*$E$273</f>
        <v>975442.93539222027</v>
      </c>
      <c r="J273" s="23" t="s">
        <v>178</v>
      </c>
    </row>
    <row r="275" spans="1:10" x14ac:dyDescent="0.2">
      <c r="D275" s="4"/>
      <c r="E275" s="4"/>
      <c r="F275" s="4"/>
    </row>
    <row r="276" spans="1:10" x14ac:dyDescent="0.2">
      <c r="B276" s="2" t="s">
        <v>179</v>
      </c>
    </row>
    <row r="277" spans="1:10" x14ac:dyDescent="0.2">
      <c r="B277" s="23"/>
      <c r="D277" s="36"/>
      <c r="E277" s="36"/>
      <c r="F277" s="36"/>
      <c r="G277" s="57"/>
    </row>
    <row r="278" spans="1:10" x14ac:dyDescent="0.2">
      <c r="B278" s="16"/>
      <c r="C278" s="16"/>
      <c r="D278" s="74"/>
      <c r="E278" s="74"/>
      <c r="F278" s="74"/>
    </row>
    <row r="281" spans="1:10" x14ac:dyDescent="0.2">
      <c r="D281" s="36"/>
      <c r="E281" s="36"/>
      <c r="F281" s="36"/>
      <c r="G281" s="57"/>
    </row>
    <row r="282" spans="1:10" x14ac:dyDescent="0.2">
      <c r="B282" s="16"/>
      <c r="C282" s="16"/>
      <c r="D282" s="74"/>
      <c r="E282" s="74"/>
      <c r="F282" s="74"/>
    </row>
    <row r="283" spans="1:10" x14ac:dyDescent="0.2">
      <c r="B283" s="16"/>
      <c r="C283" s="16"/>
      <c r="D283" s="74"/>
      <c r="E283" s="74"/>
      <c r="F283" s="74"/>
    </row>
    <row r="285" spans="1:10" ht="15" x14ac:dyDescent="0.25">
      <c r="D285" s="75"/>
      <c r="E285" s="75"/>
      <c r="F285" s="75"/>
      <c r="G285" s="23"/>
    </row>
    <row r="286" spans="1:10" x14ac:dyDescent="0.2">
      <c r="D286" s="4"/>
      <c r="E286" s="4"/>
      <c r="F286" s="4"/>
    </row>
    <row r="288" spans="1:10" x14ac:dyDescent="0.2">
      <c r="B288" s="2" t="s">
        <v>180</v>
      </c>
    </row>
    <row r="289" spans="1:18" x14ac:dyDescent="0.2">
      <c r="B289" s="2" t="s">
        <v>181</v>
      </c>
    </row>
    <row r="291" spans="1:18" x14ac:dyDescent="0.2">
      <c r="B291" s="2" t="s">
        <v>182</v>
      </c>
    </row>
    <row r="292" spans="1:18" ht="15" x14ac:dyDescent="0.25">
      <c r="B292" s="2" t="s">
        <v>183</v>
      </c>
      <c r="D292" s="76">
        <v>536.43958985910592</v>
      </c>
      <c r="E292" s="2" t="s">
        <v>184</v>
      </c>
    </row>
    <row r="293" spans="1:18" ht="15" x14ac:dyDescent="0.25">
      <c r="B293" s="2" t="s">
        <v>185</v>
      </c>
      <c r="D293" s="76">
        <v>507.34482936963519</v>
      </c>
    </row>
    <row r="294" spans="1:18" x14ac:dyDescent="0.2">
      <c r="H294" s="70" t="s">
        <v>210</v>
      </c>
    </row>
    <row r="295" spans="1:18" x14ac:dyDescent="0.2">
      <c r="G295" s="70"/>
      <c r="H295" s="70" t="s">
        <v>6</v>
      </c>
    </row>
    <row r="296" spans="1:18" x14ac:dyDescent="0.2">
      <c r="G296" s="70"/>
    </row>
    <row r="298" spans="1:18" x14ac:dyDescent="0.2">
      <c r="A298" s="6" t="str">
        <f>+A6</f>
        <v>NEWFOUNDLAND AND LABRADOR HYDRO</v>
      </c>
      <c r="B298" s="6"/>
      <c r="C298" s="6"/>
      <c r="D298" s="6"/>
      <c r="E298" s="6"/>
      <c r="F298" s="6"/>
      <c r="G298" s="6"/>
      <c r="H298" s="6"/>
    </row>
    <row r="299" spans="1:18" x14ac:dyDescent="0.2">
      <c r="A299" s="6" t="str">
        <f>RunName</f>
        <v>2027 Test Year Cost of Service Study</v>
      </c>
      <c r="B299" s="6"/>
      <c r="C299" s="6"/>
      <c r="D299" s="6"/>
      <c r="E299" s="6"/>
      <c r="F299" s="6"/>
      <c r="G299" s="6"/>
      <c r="H299" s="6"/>
    </row>
    <row r="300" spans="1:18" x14ac:dyDescent="0.2">
      <c r="A300" s="6" t="s">
        <v>8</v>
      </c>
      <c r="B300" s="6"/>
      <c r="C300" s="6"/>
      <c r="D300" s="6"/>
      <c r="E300" s="6"/>
      <c r="F300" s="6"/>
      <c r="G300" s="6"/>
      <c r="H300" s="6"/>
      <c r="R300" s="1"/>
    </row>
    <row r="301" spans="1:18" x14ac:dyDescent="0.2">
      <c r="A301" s="6" t="s">
        <v>163</v>
      </c>
      <c r="B301" s="6"/>
      <c r="C301" s="6"/>
      <c r="D301" s="6"/>
      <c r="E301" s="6"/>
      <c r="F301" s="6"/>
      <c r="G301" s="6"/>
      <c r="H301" s="6"/>
    </row>
    <row r="302" spans="1:18" x14ac:dyDescent="0.2">
      <c r="B302" s="42"/>
      <c r="C302" s="42"/>
      <c r="D302" s="42"/>
      <c r="E302" s="42"/>
      <c r="F302" s="42"/>
    </row>
    <row r="303" spans="1:18" x14ac:dyDescent="0.2">
      <c r="A303" s="1" t="s">
        <v>17</v>
      </c>
      <c r="B303" s="1">
        <v>1</v>
      </c>
      <c r="C303" s="1">
        <v>2</v>
      </c>
      <c r="D303" s="1"/>
      <c r="E303" s="1"/>
      <c r="F303" s="1"/>
      <c r="G303" s="1"/>
    </row>
    <row r="304" spans="1:18" x14ac:dyDescent="0.2">
      <c r="A304" s="1" t="s">
        <v>25</v>
      </c>
    </row>
    <row r="305" spans="1:7" x14ac:dyDescent="0.2">
      <c r="B305" s="1"/>
      <c r="C305" s="1" t="s">
        <v>186</v>
      </c>
      <c r="D305" s="10"/>
      <c r="E305" s="10"/>
      <c r="F305" s="10"/>
      <c r="G305" s="1"/>
    </row>
    <row r="306" spans="1:7" x14ac:dyDescent="0.2">
      <c r="B306" s="1"/>
      <c r="C306" s="1" t="s">
        <v>187</v>
      </c>
      <c r="D306" s="1" t="s">
        <v>188</v>
      </c>
      <c r="E306" s="1" t="s">
        <v>189</v>
      </c>
      <c r="F306" s="1"/>
      <c r="G306" s="1"/>
    </row>
    <row r="307" spans="1:7" x14ac:dyDescent="0.2">
      <c r="B307" s="1"/>
      <c r="C307" s="77" t="s">
        <v>198</v>
      </c>
      <c r="D307" s="77" t="s">
        <v>190</v>
      </c>
      <c r="E307" s="77" t="s">
        <v>191</v>
      </c>
      <c r="F307" s="1"/>
      <c r="G307" s="1"/>
    </row>
    <row r="308" spans="1:7" x14ac:dyDescent="0.2">
      <c r="B308" s="1"/>
      <c r="C308" s="1" t="s">
        <v>40</v>
      </c>
      <c r="D308" s="1" t="s">
        <v>40</v>
      </c>
      <c r="E308" s="1" t="s">
        <v>40</v>
      </c>
      <c r="F308" s="1"/>
      <c r="G308" s="1"/>
    </row>
    <row r="310" spans="1:7" x14ac:dyDescent="0.2">
      <c r="B310" s="2" t="s">
        <v>192</v>
      </c>
    </row>
    <row r="312" spans="1:7" ht="15" x14ac:dyDescent="0.25">
      <c r="A312" s="1">
        <v>1</v>
      </c>
      <c r="B312" s="2" t="s">
        <v>193</v>
      </c>
      <c r="C312" s="13">
        <f>C273</f>
        <v>64970328.19339557</v>
      </c>
      <c r="D312" s="62"/>
      <c r="E312" s="62"/>
      <c r="F312" s="62"/>
      <c r="G312" s="78"/>
    </row>
    <row r="313" spans="1:7" ht="15" hidden="1" x14ac:dyDescent="0.25">
      <c r="A313" s="1">
        <v>2</v>
      </c>
      <c r="B313" s="2" t="s">
        <v>194</v>
      </c>
      <c r="C313" s="13">
        <f>D273</f>
        <v>0</v>
      </c>
      <c r="D313" s="62"/>
      <c r="E313" s="62"/>
      <c r="F313" s="62"/>
      <c r="G313" s="78"/>
    </row>
    <row r="314" spans="1:7" ht="15" x14ac:dyDescent="0.25">
      <c r="C314" s="13"/>
      <c r="D314" s="62"/>
      <c r="E314" s="62"/>
      <c r="F314" s="62"/>
    </row>
    <row r="315" spans="1:7" ht="13.5" thickBot="1" x14ac:dyDescent="0.25">
      <c r="A315" s="1">
        <v>2</v>
      </c>
      <c r="B315" s="16" t="s">
        <v>195</v>
      </c>
      <c r="C315" s="73">
        <f>SUM(C312:C313)</f>
        <v>64970328.19339557</v>
      </c>
      <c r="D315" s="73">
        <f>E268/E271*E273</f>
        <v>62778787.672969401</v>
      </c>
      <c r="E315" s="73">
        <f>E269/E271*E273</f>
        <v>2191540.5204261681</v>
      </c>
      <c r="F315" s="47"/>
    </row>
    <row r="316" spans="1:7" ht="13.5" thickTop="1" x14ac:dyDescent="0.2"/>
    <row r="317" spans="1:7" x14ac:dyDescent="0.2">
      <c r="B317" s="2" t="s">
        <v>196</v>
      </c>
    </row>
    <row r="318" spans="1:7" x14ac:dyDescent="0.2">
      <c r="C318" s="77" t="s">
        <v>197</v>
      </c>
      <c r="D318" s="79" t="s">
        <v>198</v>
      </c>
      <c r="E318" s="77" t="s">
        <v>199</v>
      </c>
    </row>
    <row r="319" spans="1:7" x14ac:dyDescent="0.2">
      <c r="B319" s="16" t="s">
        <v>200</v>
      </c>
    </row>
    <row r="320" spans="1:7" ht="15" x14ac:dyDescent="0.25">
      <c r="A320" s="1">
        <v>3</v>
      </c>
      <c r="B320" s="23" t="s">
        <v>201</v>
      </c>
      <c r="C320" s="45">
        <f>C268/SUM($C$268:$C$268)*$D$315</f>
        <v>62778787.672969401</v>
      </c>
      <c r="D320" s="13">
        <f>SUM(F268:I268)</f>
        <v>574037013.76257312</v>
      </c>
      <c r="E320" s="80">
        <f>+C320/C326</f>
        <v>0.96626859396642317</v>
      </c>
    </row>
    <row r="321" spans="1:5" hidden="1" x14ac:dyDescent="0.2">
      <c r="A321" s="1">
        <v>4</v>
      </c>
      <c r="B321" s="23" t="s">
        <v>202</v>
      </c>
      <c r="C321" s="45">
        <f>SUM(C320:C320)</f>
        <v>62778787.672969401</v>
      </c>
      <c r="E321" s="81"/>
    </row>
    <row r="322" spans="1:5" x14ac:dyDescent="0.2">
      <c r="B322" s="23"/>
      <c r="C322" s="13"/>
      <c r="E322" s="81"/>
    </row>
    <row r="323" spans="1:5" x14ac:dyDescent="0.2">
      <c r="B323" s="16" t="s">
        <v>203</v>
      </c>
      <c r="E323" s="81"/>
    </row>
    <row r="324" spans="1:5" ht="15" x14ac:dyDescent="0.25">
      <c r="A324" s="1">
        <v>4</v>
      </c>
      <c r="B324" s="2" t="s">
        <v>204</v>
      </c>
      <c r="C324" s="45">
        <f>C269/SUM($C$269:$C$269)*$E$315</f>
        <v>2191540.5204261681</v>
      </c>
      <c r="D324" s="13">
        <f>SUM(F269:I269)</f>
        <v>20039019.906508639</v>
      </c>
      <c r="E324" s="80">
        <f>+C324/C326</f>
        <v>3.37314060335768E-2</v>
      </c>
    </row>
    <row r="325" spans="1:5" hidden="1" x14ac:dyDescent="0.2">
      <c r="A325" s="1">
        <v>5</v>
      </c>
      <c r="B325" s="2" t="s">
        <v>205</v>
      </c>
      <c r="C325" s="45">
        <f>SUM(C324:C324)</f>
        <v>2191540.5204261681</v>
      </c>
      <c r="E325" s="1"/>
    </row>
    <row r="326" spans="1:5" ht="15.75" thickBot="1" x14ac:dyDescent="0.3">
      <c r="A326" s="1">
        <v>5</v>
      </c>
      <c r="B326" s="16" t="s">
        <v>206</v>
      </c>
      <c r="C326" s="73">
        <f>SUM(C325,C321)</f>
        <v>64970328.19339557</v>
      </c>
      <c r="E326" s="82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38A7-0371-4B53-A4AD-64BB5BA3335D}">
  <sheetPr codeName="Sheet16">
    <pageSetUpPr fitToPage="1"/>
  </sheetPr>
  <dimension ref="A1:AF327"/>
  <sheetViews>
    <sheetView zoomScaleNormal="100" workbookViewId="0"/>
  </sheetViews>
  <sheetFormatPr defaultRowHeight="12.75" x14ac:dyDescent="0.2"/>
  <cols>
    <col min="1" max="1" width="5.28515625" style="83" customWidth="1"/>
    <col min="2" max="2" width="35.7109375" style="84" customWidth="1"/>
    <col min="3" max="3" width="18.140625" style="84" customWidth="1"/>
    <col min="4" max="4" width="19" style="84" customWidth="1"/>
    <col min="5" max="5" width="14.7109375" style="84" customWidth="1"/>
    <col min="6" max="6" width="13.85546875" style="84" customWidth="1"/>
    <col min="7" max="7" width="14.7109375" style="84" hidden="1" customWidth="1"/>
    <col min="8" max="8" width="22.28515625" style="84" bestFit="1" customWidth="1"/>
    <col min="9" max="9" width="14.7109375" style="84" bestFit="1" customWidth="1"/>
    <col min="10" max="10" width="22.140625" style="84" customWidth="1"/>
    <col min="11" max="11" width="13.28515625" style="84" bestFit="1" customWidth="1"/>
    <col min="12" max="12" width="5.28515625" style="84" customWidth="1"/>
    <col min="13" max="13" width="35.7109375" style="84" customWidth="1"/>
    <col min="14" max="14" width="22.28515625" style="84" bestFit="1" customWidth="1"/>
    <col min="15" max="15" width="18.28515625" style="84" bestFit="1" customWidth="1"/>
    <col min="16" max="16" width="12" style="84" bestFit="1" customWidth="1"/>
    <col min="17" max="17" width="16.28515625" style="84" customWidth="1"/>
    <col min="18" max="21" width="9.140625" style="84"/>
    <col min="22" max="22" width="3.85546875" style="84" customWidth="1"/>
    <col min="23" max="23" width="9.140625" style="84"/>
    <col min="24" max="24" width="33.42578125" style="84" customWidth="1"/>
    <col min="25" max="25" width="22.140625" style="84" bestFit="1" customWidth="1"/>
    <col min="26" max="27" width="13.7109375" style="84" customWidth="1"/>
    <col min="28" max="28" width="13.140625" style="84" bestFit="1" customWidth="1"/>
    <col min="29" max="29" width="12.28515625" style="84" bestFit="1" customWidth="1"/>
    <col min="30" max="30" width="12.85546875" style="84" bestFit="1" customWidth="1"/>
    <col min="31" max="16384" width="9.140625" style="84"/>
  </cols>
  <sheetData>
    <row r="1" spans="1:32" ht="15" x14ac:dyDescent="0.25">
      <c r="C1" s="3"/>
      <c r="I1" s="85"/>
    </row>
    <row r="2" spans="1:32" x14ac:dyDescent="0.2">
      <c r="I2" s="85" t="s">
        <v>0</v>
      </c>
      <c r="M2" s="83"/>
      <c r="U2" s="86" t="s">
        <v>1</v>
      </c>
      <c r="X2" s="83"/>
      <c r="AC2" s="86" t="s">
        <v>1</v>
      </c>
      <c r="AF2" s="86" t="s">
        <v>2</v>
      </c>
    </row>
    <row r="3" spans="1:32" x14ac:dyDescent="0.2">
      <c r="I3" s="85" t="s">
        <v>3</v>
      </c>
      <c r="M3" s="83"/>
      <c r="U3" s="86" t="s">
        <v>4</v>
      </c>
      <c r="X3" s="83"/>
      <c r="AC3" s="86" t="s">
        <v>5</v>
      </c>
      <c r="AF3" s="86" t="s">
        <v>6</v>
      </c>
    </row>
    <row r="4" spans="1:32" x14ac:dyDescent="0.2">
      <c r="I4" s="87"/>
      <c r="M4" s="83"/>
      <c r="U4" s="87"/>
      <c r="X4" s="83"/>
      <c r="AF4" s="87"/>
    </row>
    <row r="5" spans="1:32" x14ac:dyDescent="0.2">
      <c r="M5" s="83"/>
      <c r="X5" s="83"/>
    </row>
    <row r="6" spans="1:32" x14ac:dyDescent="0.2">
      <c r="A6" s="88" t="s">
        <v>7</v>
      </c>
      <c r="B6" s="88"/>
      <c r="C6" s="88"/>
      <c r="D6" s="88"/>
      <c r="E6" s="88"/>
      <c r="F6" s="88"/>
      <c r="G6" s="88"/>
      <c r="H6" s="88"/>
      <c r="I6" s="88"/>
      <c r="M6" s="88" t="s">
        <v>7</v>
      </c>
      <c r="N6" s="88"/>
      <c r="O6" s="88"/>
      <c r="P6" s="88"/>
      <c r="Q6" s="88"/>
      <c r="R6" s="88"/>
      <c r="S6" s="88"/>
      <c r="T6" s="88"/>
      <c r="U6" s="88"/>
      <c r="X6" s="88" t="s">
        <v>7</v>
      </c>
      <c r="Y6" s="88"/>
      <c r="Z6" s="88"/>
      <c r="AA6" s="88"/>
      <c r="AB6" s="88"/>
      <c r="AC6" s="88"/>
      <c r="AD6" s="88"/>
      <c r="AE6" s="88"/>
      <c r="AF6" s="88"/>
    </row>
    <row r="7" spans="1:32" x14ac:dyDescent="0.2">
      <c r="A7" s="89" t="str">
        <f>RunName</f>
        <v>2027 Test Year Cost of Service Study (No Rate Mitigation)</v>
      </c>
      <c r="B7" s="88"/>
      <c r="C7" s="88"/>
      <c r="D7" s="88"/>
      <c r="E7" s="88"/>
      <c r="F7" s="88"/>
      <c r="G7" s="88"/>
      <c r="H7" s="88"/>
      <c r="I7" s="88"/>
      <c r="M7" s="89" t="str">
        <f>RunName</f>
        <v>2027 Test Year Cost of Service Study (No Rate Mitigation)</v>
      </c>
      <c r="N7" s="88"/>
      <c r="O7" s="88"/>
      <c r="P7" s="88"/>
      <c r="Q7" s="88"/>
      <c r="R7" s="88"/>
      <c r="S7" s="88"/>
      <c r="T7" s="88"/>
      <c r="U7" s="88"/>
      <c r="X7" s="89" t="str">
        <f>RunName</f>
        <v>2027 Test Year Cost of Service Study (No Rate Mitigation)</v>
      </c>
      <c r="Y7" s="88"/>
      <c r="Z7" s="88"/>
      <c r="AA7" s="88"/>
      <c r="AB7" s="88"/>
      <c r="AC7" s="88"/>
      <c r="AD7" s="88"/>
      <c r="AE7" s="88"/>
      <c r="AF7" s="88"/>
    </row>
    <row r="8" spans="1:32" x14ac:dyDescent="0.2">
      <c r="A8" s="88" t="s">
        <v>8</v>
      </c>
      <c r="B8" s="88"/>
      <c r="C8" s="88"/>
      <c r="D8" s="88"/>
      <c r="E8" s="88"/>
      <c r="F8" s="88"/>
      <c r="G8" s="88"/>
      <c r="H8" s="88"/>
      <c r="I8" s="88"/>
      <c r="M8" s="88" t="s">
        <v>8</v>
      </c>
      <c r="N8" s="88"/>
      <c r="O8" s="88"/>
      <c r="P8" s="88"/>
      <c r="Q8" s="88"/>
      <c r="R8" s="88"/>
      <c r="S8" s="88"/>
      <c r="T8" s="88"/>
      <c r="U8" s="88"/>
      <c r="X8" s="88" t="s">
        <v>8</v>
      </c>
      <c r="Y8" s="88"/>
      <c r="Z8" s="88"/>
      <c r="AA8" s="88"/>
      <c r="AB8" s="88"/>
      <c r="AC8" s="88"/>
      <c r="AD8" s="88"/>
      <c r="AE8" s="88"/>
      <c r="AF8" s="88"/>
    </row>
    <row r="9" spans="1:32" x14ac:dyDescent="0.2">
      <c r="A9" s="88" t="s">
        <v>9</v>
      </c>
      <c r="B9" s="88"/>
      <c r="C9" s="88"/>
      <c r="D9" s="88"/>
      <c r="E9" s="88"/>
      <c r="F9" s="88"/>
      <c r="G9" s="88"/>
      <c r="H9" s="88"/>
      <c r="I9" s="88"/>
      <c r="M9" s="88" t="s">
        <v>10</v>
      </c>
      <c r="N9" s="88"/>
      <c r="O9" s="88"/>
      <c r="P9" s="88"/>
      <c r="Q9" s="88"/>
      <c r="R9" s="88"/>
      <c r="S9" s="88"/>
      <c r="T9" s="88"/>
      <c r="U9" s="88"/>
      <c r="X9" s="88" t="s">
        <v>11</v>
      </c>
      <c r="Y9" s="88"/>
      <c r="Z9" s="88"/>
      <c r="AA9" s="88"/>
      <c r="AB9" s="88"/>
      <c r="AC9" s="88"/>
      <c r="AD9" s="88"/>
      <c r="AE9" s="88"/>
      <c r="AF9" s="88"/>
    </row>
    <row r="10" spans="1:32" x14ac:dyDescent="0.2">
      <c r="M10" s="83"/>
      <c r="X10" s="83"/>
    </row>
    <row r="11" spans="1:32" s="83" customFormat="1" x14ac:dyDescent="0.2">
      <c r="B11" s="83">
        <f t="shared" ref="B11:I11" si="0">MAX(A11)+NoOne</f>
        <v>1</v>
      </c>
      <c r="C11" s="83">
        <f t="shared" si="0"/>
        <v>2</v>
      </c>
      <c r="D11" s="83">
        <f t="shared" si="0"/>
        <v>3</v>
      </c>
      <c r="E11" s="83">
        <f t="shared" si="0"/>
        <v>4</v>
      </c>
      <c r="F11" s="83">
        <f t="shared" si="0"/>
        <v>5</v>
      </c>
      <c r="G11" s="83">
        <f t="shared" si="0"/>
        <v>6</v>
      </c>
      <c r="H11" s="83">
        <v>6</v>
      </c>
      <c r="I11" s="83">
        <f t="shared" si="0"/>
        <v>7</v>
      </c>
      <c r="N11" s="83">
        <f t="shared" ref="N11" si="1">MAX(M11)+NoOne</f>
        <v>1</v>
      </c>
      <c r="O11" s="83">
        <f t="shared" ref="O11" si="2">MAX(N11)+NoOne</f>
        <v>2</v>
      </c>
      <c r="P11" s="83">
        <f t="shared" ref="P11" si="3">MAX(O11)+NoOne</f>
        <v>3</v>
      </c>
      <c r="Q11" s="83">
        <f t="shared" ref="Q11" si="4">MAX(P11)+NoOne</f>
        <v>4</v>
      </c>
      <c r="Y11" s="83">
        <f t="shared" ref="Y11" si="5">MAX(X11)+NoOne</f>
        <v>1</v>
      </c>
    </row>
    <row r="12" spans="1:32" s="83" customFormat="1" x14ac:dyDescent="0.2"/>
    <row r="13" spans="1:32" x14ac:dyDescent="0.2">
      <c r="B13" s="83"/>
      <c r="C13" s="83"/>
      <c r="D13" s="90" t="s">
        <v>12</v>
      </c>
      <c r="E13" s="83"/>
      <c r="F13" s="83"/>
      <c r="H13" s="90" t="s">
        <v>13</v>
      </c>
      <c r="I13" s="83" t="s">
        <v>14</v>
      </c>
      <c r="N13" s="90" t="s">
        <v>13</v>
      </c>
      <c r="O13" s="91" t="s">
        <v>15</v>
      </c>
      <c r="P13" s="91"/>
      <c r="Q13" s="92"/>
      <c r="Y13" s="93" t="s">
        <v>16</v>
      </c>
      <c r="Z13" s="91"/>
      <c r="AA13" s="91"/>
      <c r="AB13" s="92"/>
    </row>
    <row r="14" spans="1:32" x14ac:dyDescent="0.2">
      <c r="A14" s="83" t="s">
        <v>17</v>
      </c>
      <c r="B14" s="83"/>
      <c r="C14" s="83"/>
      <c r="D14" s="83" t="s">
        <v>18</v>
      </c>
      <c r="E14" s="83" t="s">
        <v>14</v>
      </c>
      <c r="F14" s="83"/>
      <c r="G14" s="90" t="s">
        <v>19</v>
      </c>
      <c r="H14" s="90" t="s">
        <v>20</v>
      </c>
      <c r="I14" s="83" t="s">
        <v>21</v>
      </c>
      <c r="L14" s="83" t="s">
        <v>17</v>
      </c>
      <c r="M14" s="83"/>
      <c r="N14" s="90" t="s">
        <v>20</v>
      </c>
      <c r="O14" s="91" t="s">
        <v>22</v>
      </c>
      <c r="P14" s="91"/>
      <c r="Q14" s="94" t="s">
        <v>23</v>
      </c>
      <c r="W14" s="83" t="s">
        <v>17</v>
      </c>
      <c r="X14" s="83"/>
      <c r="Y14" s="90" t="s">
        <v>24</v>
      </c>
      <c r="Z14" s="91"/>
      <c r="AA14" s="91"/>
      <c r="AB14" s="94"/>
    </row>
    <row r="15" spans="1:32" x14ac:dyDescent="0.2">
      <c r="A15" s="83" t="s">
        <v>25</v>
      </c>
      <c r="B15" s="83" t="s">
        <v>26</v>
      </c>
      <c r="C15" s="83" t="s">
        <v>27</v>
      </c>
      <c r="D15" s="83" t="s">
        <v>28</v>
      </c>
      <c r="E15" s="90" t="s">
        <v>29</v>
      </c>
      <c r="F15" s="83" t="s">
        <v>30</v>
      </c>
      <c r="G15" s="83" t="s">
        <v>31</v>
      </c>
      <c r="H15" s="83" t="s">
        <v>28</v>
      </c>
      <c r="I15" s="83" t="s">
        <v>32</v>
      </c>
      <c r="L15" s="83" t="s">
        <v>25</v>
      </c>
      <c r="M15" s="83" t="s">
        <v>26</v>
      </c>
      <c r="N15" s="83" t="s">
        <v>28</v>
      </c>
      <c r="O15" s="95" t="s">
        <v>33</v>
      </c>
      <c r="P15" s="95"/>
      <c r="Q15" s="83" t="s">
        <v>34</v>
      </c>
      <c r="W15" s="83" t="s">
        <v>25</v>
      </c>
      <c r="X15" s="83" t="s">
        <v>26</v>
      </c>
      <c r="Y15" s="83" t="s">
        <v>35</v>
      </c>
      <c r="Z15" s="83" t="s">
        <v>36</v>
      </c>
      <c r="AA15" s="96" t="s">
        <v>37</v>
      </c>
      <c r="AB15" s="83" t="s">
        <v>36</v>
      </c>
      <c r="AC15" s="96" t="s">
        <v>37</v>
      </c>
    </row>
    <row r="16" spans="1:32" x14ac:dyDescent="0.2">
      <c r="B16" s="83"/>
      <c r="C16" s="83"/>
      <c r="D16" s="83"/>
      <c r="E16" s="83"/>
      <c r="F16" s="83"/>
      <c r="H16" s="11" t="s">
        <v>38</v>
      </c>
      <c r="I16" s="83" t="s">
        <v>39</v>
      </c>
      <c r="L16" s="83"/>
      <c r="M16" s="83"/>
      <c r="N16" s="11"/>
      <c r="W16" s="83"/>
      <c r="X16" s="83"/>
      <c r="Y16" s="11"/>
    </row>
    <row r="17" spans="1:30" ht="11.25" customHeight="1" x14ac:dyDescent="0.2">
      <c r="B17" s="83"/>
      <c r="C17" s="83" t="s">
        <v>40</v>
      </c>
      <c r="D17" s="83" t="s">
        <v>40</v>
      </c>
      <c r="E17" s="83" t="s">
        <v>40</v>
      </c>
      <c r="F17" s="83" t="s">
        <v>40</v>
      </c>
      <c r="G17" s="83" t="s">
        <v>40</v>
      </c>
      <c r="H17" s="83" t="s">
        <v>40</v>
      </c>
      <c r="I17" s="83"/>
      <c r="L17" s="83"/>
      <c r="M17" s="83"/>
      <c r="N17" s="83" t="s">
        <v>40</v>
      </c>
      <c r="O17" s="83" t="s">
        <v>40</v>
      </c>
      <c r="P17" s="83" t="s">
        <v>40</v>
      </c>
      <c r="Q17" s="83" t="s">
        <v>40</v>
      </c>
      <c r="W17" s="83"/>
      <c r="X17" s="83"/>
      <c r="Y17" s="83" t="s">
        <v>40</v>
      </c>
      <c r="Z17" s="83" t="s">
        <v>40</v>
      </c>
      <c r="AA17" s="83" t="s">
        <v>40</v>
      </c>
      <c r="AB17" s="83" t="s">
        <v>41</v>
      </c>
      <c r="AC17" s="83" t="s">
        <v>41</v>
      </c>
    </row>
    <row r="18" spans="1:30" ht="4.5" customHeight="1" x14ac:dyDescent="0.2">
      <c r="L18" s="83"/>
      <c r="W18" s="83"/>
    </row>
    <row r="19" spans="1:30" ht="15" x14ac:dyDescent="0.25">
      <c r="H19" s="97"/>
      <c r="J19" s="98"/>
      <c r="L19" s="83"/>
      <c r="O19" s="94"/>
      <c r="P19" s="94"/>
      <c r="W19" s="83">
        <v>1</v>
      </c>
      <c r="X19" s="84" t="s">
        <v>42</v>
      </c>
      <c r="Y19" s="14">
        <v>269134555.84989369</v>
      </c>
      <c r="Z19" s="14">
        <v>133794097.71196806</v>
      </c>
      <c r="AA19" s="14">
        <v>135340458.13792562</v>
      </c>
      <c r="AB19" s="99">
        <f>Z19/$Y19</f>
        <v>0.49712716113121491</v>
      </c>
      <c r="AC19" s="99">
        <f>AA19/$Y19</f>
        <v>0.50287283886878509</v>
      </c>
    </row>
    <row r="20" spans="1:30" ht="15" x14ac:dyDescent="0.25">
      <c r="B20" s="100" t="s">
        <v>8</v>
      </c>
      <c r="C20" s="98"/>
      <c r="D20" s="98"/>
      <c r="H20" s="101"/>
      <c r="I20" s="101"/>
      <c r="J20" s="83"/>
      <c r="L20" s="83"/>
      <c r="M20" s="100" t="s">
        <v>8</v>
      </c>
      <c r="W20" s="83">
        <v>2</v>
      </c>
      <c r="X20" s="84" t="s">
        <v>43</v>
      </c>
      <c r="Y20" s="14">
        <v>-40178593</v>
      </c>
      <c r="Z20" s="14">
        <v>-19973869.876336504</v>
      </c>
      <c r="AA20" s="14">
        <v>-20204723.123663496</v>
      </c>
      <c r="AB20" s="99">
        <f t="shared" ref="AB20:AC22" si="6">Z20/$Y20</f>
        <v>0.49712716113121491</v>
      </c>
      <c r="AC20" s="99">
        <f t="shared" si="6"/>
        <v>0.50287283886878509</v>
      </c>
    </row>
    <row r="21" spans="1:30" ht="15" x14ac:dyDescent="0.25">
      <c r="A21" s="83">
        <v>1</v>
      </c>
      <c r="B21" s="92" t="s">
        <v>44</v>
      </c>
      <c r="C21" s="102">
        <f>C66</f>
        <v>1104811717.28</v>
      </c>
      <c r="D21" s="102">
        <f>D66</f>
        <v>1009624140.6639924</v>
      </c>
      <c r="E21" s="102">
        <f t="shared" ref="D21:G22" si="7">E66</f>
        <v>0</v>
      </c>
      <c r="F21" s="102">
        <f t="shared" si="7"/>
        <v>95188620.584301099</v>
      </c>
      <c r="G21" s="14">
        <f t="shared" si="7"/>
        <v>0</v>
      </c>
      <c r="H21" s="102">
        <f>SUM(D21:G21)</f>
        <v>1104812761.2482934</v>
      </c>
      <c r="I21" s="102"/>
      <c r="J21" s="14"/>
      <c r="K21" s="98"/>
      <c r="L21" s="83">
        <v>1</v>
      </c>
      <c r="M21" s="92" t="s">
        <v>44</v>
      </c>
      <c r="N21" s="103">
        <f>H21</f>
        <v>1104812761.2482934</v>
      </c>
      <c r="O21" s="103">
        <v>0</v>
      </c>
      <c r="P21" s="103"/>
      <c r="Q21" s="103">
        <f>SUM(N21:P21)</f>
        <v>1104812761.2482934</v>
      </c>
      <c r="R21" s="83"/>
      <c r="W21" s="83">
        <v>3</v>
      </c>
      <c r="X21" s="84" t="s">
        <v>45</v>
      </c>
      <c r="Y21" s="14">
        <v>46146683.150106318</v>
      </c>
      <c r="Z21" s="14">
        <v>22940769.590034023</v>
      </c>
      <c r="AA21" s="14">
        <v>23205913.560072295</v>
      </c>
      <c r="AB21" s="99">
        <f t="shared" si="6"/>
        <v>0.49712716113121491</v>
      </c>
      <c r="AC21" s="99">
        <f t="shared" si="6"/>
        <v>0.50287283886878509</v>
      </c>
    </row>
    <row r="22" spans="1:30" ht="15" x14ac:dyDescent="0.25">
      <c r="A22" s="83">
        <v>2</v>
      </c>
      <c r="B22" s="104" t="s">
        <v>46</v>
      </c>
      <c r="C22" s="102">
        <f>C67</f>
        <v>0</v>
      </c>
      <c r="D22" s="102">
        <f t="shared" si="7"/>
        <v>0</v>
      </c>
      <c r="E22" s="102">
        <f t="shared" si="7"/>
        <v>0</v>
      </c>
      <c r="F22" s="102">
        <f t="shared" si="7"/>
        <v>0</v>
      </c>
      <c r="G22" s="102">
        <f t="shared" si="7"/>
        <v>0</v>
      </c>
      <c r="H22" s="20">
        <f>SUM(D22:G22)</f>
        <v>0</v>
      </c>
      <c r="I22" s="105"/>
      <c r="L22" s="83">
        <v>2</v>
      </c>
      <c r="M22" s="106" t="s">
        <v>47</v>
      </c>
      <c r="O22" s="103">
        <v>0</v>
      </c>
      <c r="Q22" s="103">
        <f>SUM(N22:P22)</f>
        <v>0</v>
      </c>
      <c r="W22" s="83">
        <v>4</v>
      </c>
      <c r="X22" s="84" t="s">
        <v>48</v>
      </c>
      <c r="Y22" s="14">
        <v>465082406</v>
      </c>
      <c r="Z22" s="14">
        <v>231205096.18685511</v>
      </c>
      <c r="AA22" s="14">
        <v>233877309.81314489</v>
      </c>
      <c r="AB22" s="99">
        <f t="shared" si="6"/>
        <v>0.49712716113121491</v>
      </c>
      <c r="AC22" s="99">
        <f t="shared" si="6"/>
        <v>0.50287283886878509</v>
      </c>
    </row>
    <row r="23" spans="1:30" ht="18" customHeight="1" x14ac:dyDescent="0.2">
      <c r="A23" s="83">
        <v>3</v>
      </c>
      <c r="B23" s="104" t="s">
        <v>49</v>
      </c>
      <c r="C23" s="107">
        <f t="shared" ref="C23:H23" si="8">SUM(C21:C22)</f>
        <v>1104811717.28</v>
      </c>
      <c r="D23" s="107">
        <f t="shared" si="8"/>
        <v>1009624140.6639924</v>
      </c>
      <c r="E23" s="107">
        <f t="shared" si="8"/>
        <v>0</v>
      </c>
      <c r="F23" s="107">
        <f t="shared" si="8"/>
        <v>95188620.584301099</v>
      </c>
      <c r="G23" s="107">
        <f t="shared" si="8"/>
        <v>0</v>
      </c>
      <c r="H23" s="107">
        <f t="shared" si="8"/>
        <v>1104812761.2482934</v>
      </c>
      <c r="I23" s="108">
        <f>IF(D23&lt;&gt;0,C23/D23,0)</f>
        <v>1.0942802106072922</v>
      </c>
      <c r="J23" s="99"/>
      <c r="K23" s="98"/>
      <c r="L23" s="83">
        <v>3</v>
      </c>
      <c r="M23" s="104" t="s">
        <v>49</v>
      </c>
      <c r="N23" s="107">
        <f t="shared" ref="N23:Q23" si="9">SUM(N21:N22)</f>
        <v>1104812761.2482934</v>
      </c>
      <c r="O23" s="107">
        <f t="shared" si="9"/>
        <v>0</v>
      </c>
      <c r="P23" s="107">
        <f t="shared" si="9"/>
        <v>0</v>
      </c>
      <c r="Q23" s="107">
        <f t="shared" si="9"/>
        <v>1104812761.2482934</v>
      </c>
      <c r="W23" s="83">
        <v>5</v>
      </c>
      <c r="X23" s="92" t="s">
        <v>50</v>
      </c>
      <c r="Y23" s="107">
        <f>SUM(Y19:Y22)</f>
        <v>740185052</v>
      </c>
      <c r="Z23" s="107">
        <f t="shared" ref="Z23:AA23" si="10">SUM(Z19:Z22)</f>
        <v>367966093.61252069</v>
      </c>
      <c r="AA23" s="107">
        <f t="shared" si="10"/>
        <v>372218958.38747931</v>
      </c>
    </row>
    <row r="24" spans="1:30" x14ac:dyDescent="0.2">
      <c r="B24" s="109"/>
      <c r="C24" s="102"/>
      <c r="D24" s="102"/>
      <c r="E24" s="102"/>
      <c r="F24" s="102"/>
      <c r="H24" s="20"/>
      <c r="I24" s="105"/>
      <c r="K24" s="98"/>
      <c r="L24" s="83"/>
      <c r="M24" s="109"/>
    </row>
    <row r="25" spans="1:30" x14ac:dyDescent="0.2">
      <c r="A25" s="83">
        <v>4</v>
      </c>
      <c r="B25" s="84" t="s">
        <v>51</v>
      </c>
      <c r="C25" s="102">
        <f>C73</f>
        <v>77081467.060000017</v>
      </c>
      <c r="D25" s="102">
        <f>D73</f>
        <v>77084808.23695381</v>
      </c>
      <c r="E25" s="102">
        <f>E73</f>
        <v>0</v>
      </c>
      <c r="F25" s="102">
        <v>0</v>
      </c>
      <c r="H25" s="102">
        <f>H73</f>
        <v>77084808.23695381</v>
      </c>
      <c r="I25" s="105">
        <f>IF(D25&lt;&gt;0,C25/D25,0)</f>
        <v>0.99995665583102289</v>
      </c>
      <c r="J25" s="99"/>
      <c r="K25" s="98"/>
      <c r="L25" s="83">
        <v>4</v>
      </c>
      <c r="M25" s="84" t="s">
        <v>51</v>
      </c>
      <c r="N25" s="98">
        <f>H25</f>
        <v>77084808.23695381</v>
      </c>
      <c r="O25" s="103">
        <v>0</v>
      </c>
      <c r="Q25" s="103">
        <f>SUM(N25:P25)</f>
        <v>77084808.23695381</v>
      </c>
      <c r="X25" s="84" t="s">
        <v>213</v>
      </c>
    </row>
    <row r="26" spans="1:30" x14ac:dyDescent="0.2">
      <c r="A26" s="83">
        <v>5</v>
      </c>
      <c r="B26" s="92" t="s">
        <v>52</v>
      </c>
      <c r="C26" s="102">
        <f>+C75</f>
        <v>0</v>
      </c>
      <c r="D26" s="102">
        <f>+D75</f>
        <v>0</v>
      </c>
      <c r="E26" s="102">
        <f>+E75</f>
        <v>0</v>
      </c>
      <c r="F26" s="102">
        <f>+F75</f>
        <v>0</v>
      </c>
      <c r="H26" s="102">
        <f>+H75</f>
        <v>0</v>
      </c>
      <c r="I26" s="105">
        <f t="shared" ref="I26:I36" si="11">IF(D26&lt;&gt;0,C26/D26,0)</f>
        <v>0</v>
      </c>
      <c r="K26" s="98"/>
      <c r="L26" s="83"/>
      <c r="M26" s="92"/>
      <c r="N26" s="98"/>
    </row>
    <row r="27" spans="1:30" x14ac:dyDescent="0.2">
      <c r="A27" s="83">
        <v>6</v>
      </c>
      <c r="B27" s="84" t="s">
        <v>53</v>
      </c>
      <c r="C27" s="102">
        <f>+C223</f>
        <v>9171997.7694181111</v>
      </c>
      <c r="D27" s="102">
        <f>+D223</f>
        <v>9172199.8960632775</v>
      </c>
      <c r="E27" s="102">
        <f>+E223</f>
        <v>0</v>
      </c>
      <c r="F27" s="102">
        <v>0</v>
      </c>
      <c r="H27" s="20">
        <f>SUM(D27:F27)</f>
        <v>9172199.8960632775</v>
      </c>
      <c r="I27" s="105">
        <f t="shared" si="11"/>
        <v>0.99997796312253806</v>
      </c>
      <c r="J27" s="99"/>
      <c r="K27" s="98"/>
      <c r="L27" s="83">
        <v>5</v>
      </c>
      <c r="M27" s="84" t="s">
        <v>53</v>
      </c>
      <c r="N27" s="98">
        <f t="shared" ref="N27:N29" si="12">H27</f>
        <v>9172199.8960632775</v>
      </c>
      <c r="Q27" s="103">
        <f>SUM(N27:P27)</f>
        <v>9172199.8960632775</v>
      </c>
    </row>
    <row r="28" spans="1:30" x14ac:dyDescent="0.2">
      <c r="A28" s="83">
        <v>7</v>
      </c>
      <c r="B28" s="84" t="s">
        <v>54</v>
      </c>
      <c r="C28" s="102">
        <f>+C225</f>
        <v>0</v>
      </c>
      <c r="D28" s="102">
        <f>+D225</f>
        <v>0</v>
      </c>
      <c r="E28" s="102">
        <f>+E225</f>
        <v>0</v>
      </c>
      <c r="F28" s="102">
        <v>0</v>
      </c>
      <c r="H28" s="20">
        <f>+C28</f>
        <v>0</v>
      </c>
      <c r="I28" s="105">
        <f t="shared" si="11"/>
        <v>0</v>
      </c>
      <c r="K28" s="98"/>
      <c r="L28" s="83">
        <v>6</v>
      </c>
      <c r="M28" s="84" t="s">
        <v>54</v>
      </c>
      <c r="N28" s="98">
        <f t="shared" si="12"/>
        <v>0</v>
      </c>
      <c r="Q28" s="103">
        <f t="shared" ref="Q28:Q29" si="13">SUM(N28:P28)</f>
        <v>0</v>
      </c>
      <c r="AD28" s="83" t="s">
        <v>55</v>
      </c>
    </row>
    <row r="29" spans="1:30" x14ac:dyDescent="0.2">
      <c r="A29" s="83">
        <v>8</v>
      </c>
      <c r="B29" s="84" t="s">
        <v>56</v>
      </c>
      <c r="C29" s="102">
        <f>C236</f>
        <v>21931248.037172787</v>
      </c>
      <c r="D29" s="102">
        <f>D236</f>
        <v>20039019.906508639</v>
      </c>
      <c r="E29" s="102">
        <f>E236</f>
        <v>0</v>
      </c>
      <c r="F29" s="102">
        <f>C324</f>
        <v>1889303.7378320058</v>
      </c>
      <c r="H29" s="20">
        <f>SUM(D29:F29)</f>
        <v>21928323.644340646</v>
      </c>
      <c r="I29" s="105">
        <f>IF(D29&lt;&gt;0,C29/D29,0)</f>
        <v>1.0944271795473168</v>
      </c>
      <c r="J29" s="99"/>
      <c r="K29" s="98"/>
      <c r="L29" s="83">
        <v>7</v>
      </c>
      <c r="M29" s="84" t="s">
        <v>56</v>
      </c>
      <c r="N29" s="98">
        <f t="shared" si="12"/>
        <v>21928323.644340646</v>
      </c>
      <c r="Q29" s="103">
        <f t="shared" si="13"/>
        <v>21928323.644340646</v>
      </c>
      <c r="Y29" s="93" t="s">
        <v>16</v>
      </c>
      <c r="Z29" s="83" t="s">
        <v>57</v>
      </c>
      <c r="AA29" s="83" t="s">
        <v>57</v>
      </c>
      <c r="AB29" s="83" t="s">
        <v>57</v>
      </c>
      <c r="AC29" s="83" t="s">
        <v>57</v>
      </c>
      <c r="AD29" s="90" t="s">
        <v>58</v>
      </c>
    </row>
    <row r="30" spans="1:30" x14ac:dyDescent="0.2">
      <c r="C30" s="98"/>
      <c r="D30" s="98"/>
      <c r="E30" s="98"/>
      <c r="F30" s="98"/>
      <c r="H30" s="98"/>
      <c r="I30" s="105"/>
      <c r="K30" s="98"/>
      <c r="L30" s="83"/>
      <c r="Y30" s="90" t="s">
        <v>24</v>
      </c>
      <c r="Z30" s="83" t="s">
        <v>36</v>
      </c>
      <c r="AA30" s="83" t="s">
        <v>36</v>
      </c>
      <c r="AB30" s="83" t="s">
        <v>37</v>
      </c>
      <c r="AC30" s="83" t="s">
        <v>37</v>
      </c>
      <c r="AD30" s="90" t="s">
        <v>59</v>
      </c>
    </row>
    <row r="31" spans="1:30" ht="15" x14ac:dyDescent="0.25">
      <c r="B31" s="110" t="s">
        <v>60</v>
      </c>
      <c r="C31" s="111"/>
      <c r="D31" s="111"/>
      <c r="E31" s="111"/>
      <c r="F31" s="111"/>
      <c r="H31" s="20"/>
      <c r="I31" s="105"/>
      <c r="J31" s="26"/>
      <c r="K31" s="98"/>
      <c r="L31" s="83"/>
      <c r="M31" s="110" t="s">
        <v>60</v>
      </c>
      <c r="Y31" s="83" t="s">
        <v>35</v>
      </c>
      <c r="Z31" s="94" t="s">
        <v>61</v>
      </c>
      <c r="AB31" s="94" t="s">
        <v>62</v>
      </c>
      <c r="AD31" s="83" t="s">
        <v>35</v>
      </c>
    </row>
    <row r="32" spans="1:30" x14ac:dyDescent="0.2">
      <c r="A32" s="83">
        <v>9</v>
      </c>
      <c r="B32" s="84" t="s">
        <v>63</v>
      </c>
      <c r="C32" s="102">
        <f>C87</f>
        <v>68909057.952898145</v>
      </c>
      <c r="D32" s="102">
        <f>D87</f>
        <v>119423025.34317885</v>
      </c>
      <c r="E32" s="102">
        <f>E87</f>
        <v>0</v>
      </c>
      <c r="F32" s="20">
        <f>C32-D32-E32</f>
        <v>-50513967.390280709</v>
      </c>
      <c r="H32" s="20">
        <f>SUM(D32:F32)</f>
        <v>68909057.952898145</v>
      </c>
      <c r="I32" s="105">
        <f t="shared" si="11"/>
        <v>0.57701651549086352</v>
      </c>
      <c r="J32" s="98"/>
      <c r="K32" s="98"/>
      <c r="L32" s="83">
        <v>8</v>
      </c>
      <c r="M32" s="84" t="s">
        <v>63</v>
      </c>
      <c r="N32" s="98">
        <f t="shared" ref="N32:N36" si="14">H32</f>
        <v>68909057.952898145</v>
      </c>
      <c r="Q32" s="103">
        <f t="shared" ref="Q32:Q36" si="15">SUM(N32:P32)</f>
        <v>68909057.952898145</v>
      </c>
      <c r="W32" s="83"/>
      <c r="Y32" s="83" t="s">
        <v>40</v>
      </c>
      <c r="Z32" s="83" t="s">
        <v>41</v>
      </c>
      <c r="AA32" s="83" t="s">
        <v>40</v>
      </c>
      <c r="AB32" s="83" t="s">
        <v>41</v>
      </c>
      <c r="AC32" s="83" t="s">
        <v>40</v>
      </c>
      <c r="AD32" s="83" t="s">
        <v>41</v>
      </c>
    </row>
    <row r="33" spans="1:30" x14ac:dyDescent="0.2">
      <c r="A33" s="83">
        <v>10</v>
      </c>
      <c r="B33" s="84" t="s">
        <v>64</v>
      </c>
      <c r="C33" s="102">
        <f>C128</f>
        <v>1717948.9398972169</v>
      </c>
      <c r="D33" s="102">
        <f>D128</f>
        <v>10404401.507694557</v>
      </c>
      <c r="E33" s="102">
        <f>E128</f>
        <v>0</v>
      </c>
      <c r="F33" s="20">
        <f>C33-D33-E33</f>
        <v>-8686452.5677973405</v>
      </c>
      <c r="H33" s="20">
        <f>SUM(D33:F33)</f>
        <v>1717948.9398972169</v>
      </c>
      <c r="I33" s="105">
        <f t="shared" si="11"/>
        <v>0.16511751671893002</v>
      </c>
      <c r="J33" s="98"/>
      <c r="K33" s="98"/>
      <c r="L33" s="83">
        <v>9</v>
      </c>
      <c r="M33" s="84" t="s">
        <v>64</v>
      </c>
      <c r="N33" s="98">
        <f t="shared" si="14"/>
        <v>1717948.9398972169</v>
      </c>
      <c r="Q33" s="103">
        <f t="shared" si="15"/>
        <v>1717948.9398972169</v>
      </c>
      <c r="W33" s="83"/>
      <c r="X33" s="100" t="s">
        <v>8</v>
      </c>
    </row>
    <row r="34" spans="1:30" ht="16.5" x14ac:dyDescent="0.3">
      <c r="A34" s="83">
        <v>11</v>
      </c>
      <c r="B34" s="84" t="s">
        <v>65</v>
      </c>
      <c r="C34" s="102">
        <f>C166</f>
        <v>11969343.183470888</v>
      </c>
      <c r="D34" s="102">
        <f>D166</f>
        <v>44165488.189015225</v>
      </c>
      <c r="E34" s="102">
        <f>E166</f>
        <v>0</v>
      </c>
      <c r="F34" s="20">
        <f>C34-D34-E34</f>
        <v>-32196145.005544335</v>
      </c>
      <c r="H34" s="20">
        <f>SUM(D34:F34)</f>
        <v>11969343.18347089</v>
      </c>
      <c r="I34" s="105">
        <f t="shared" si="11"/>
        <v>0.27101122786746157</v>
      </c>
      <c r="J34" s="98"/>
      <c r="K34" s="98"/>
      <c r="L34" s="83">
        <v>10</v>
      </c>
      <c r="M34" s="84" t="s">
        <v>65</v>
      </c>
      <c r="N34" s="98">
        <f t="shared" si="14"/>
        <v>11969343.18347089</v>
      </c>
      <c r="Q34" s="103">
        <f t="shared" si="15"/>
        <v>11969343.18347089</v>
      </c>
      <c r="W34" s="83">
        <v>1</v>
      </c>
      <c r="X34" s="92" t="s">
        <v>44</v>
      </c>
      <c r="Y34" s="14">
        <f>SUM(AA34,AC34)</f>
        <v>642307199.01942611</v>
      </c>
      <c r="Z34" s="27">
        <v>0.88738604118773867</v>
      </c>
      <c r="AA34" s="14">
        <f>AA$44*Z34</f>
        <v>326527975.10213161</v>
      </c>
      <c r="AB34" s="27">
        <v>0.8483695330439589</v>
      </c>
      <c r="AC34" s="14">
        <f>AC$44*AB34</f>
        <v>315779223.91729456</v>
      </c>
      <c r="AD34" s="27">
        <f>Y34/Y$44</f>
        <v>0.8677656989747291</v>
      </c>
    </row>
    <row r="35" spans="1:30" ht="16.5" x14ac:dyDescent="0.3">
      <c r="A35" s="83">
        <v>12</v>
      </c>
      <c r="B35" s="84" t="s">
        <v>66</v>
      </c>
      <c r="C35" s="102">
        <f>C198</f>
        <v>4077136.5066004382</v>
      </c>
      <c r="D35" s="102">
        <f>D198</f>
        <v>9758495.865111161</v>
      </c>
      <c r="E35" s="102">
        <f>E198</f>
        <v>0</v>
      </c>
      <c r="F35" s="20">
        <f>C35-D35-E35</f>
        <v>-5681359.3585107233</v>
      </c>
      <c r="H35" s="28">
        <f>SUM(D35:F35)</f>
        <v>4077136.5066004377</v>
      </c>
      <c r="I35" s="105">
        <f t="shared" si="11"/>
        <v>0.41780378482068403</v>
      </c>
      <c r="J35" s="98"/>
      <c r="K35" s="98"/>
      <c r="L35" s="83">
        <v>11</v>
      </c>
      <c r="M35" s="84" t="s">
        <v>66</v>
      </c>
      <c r="N35" s="98">
        <f t="shared" si="14"/>
        <v>4077136.5066004377</v>
      </c>
      <c r="Q35" s="103">
        <f t="shared" si="15"/>
        <v>4077136.5066004377</v>
      </c>
      <c r="W35" s="83">
        <v>2</v>
      </c>
      <c r="X35" s="106" t="s">
        <v>47</v>
      </c>
      <c r="Y35" s="14">
        <f>SUM(AA35,AC35)</f>
        <v>47345155.223936856</v>
      </c>
      <c r="Z35" s="27">
        <v>6.2801465870849699E-2</v>
      </c>
      <c r="AA35" s="14">
        <f>AA$44*Z35</f>
        <v>23108810.069636602</v>
      </c>
      <c r="AB35" s="27">
        <v>6.5113140016555132E-2</v>
      </c>
      <c r="AC35" s="14">
        <f>AC$44*AB35</f>
        <v>24236345.15430025</v>
      </c>
      <c r="AD35" s="27">
        <f>Y35/Y$44</f>
        <v>6.3963944011040177E-2</v>
      </c>
    </row>
    <row r="36" spans="1:30" x14ac:dyDescent="0.2">
      <c r="A36" s="83">
        <v>13</v>
      </c>
      <c r="B36" s="84" t="s">
        <v>67</v>
      </c>
      <c r="C36" s="102">
        <v>0</v>
      </c>
      <c r="D36" s="102">
        <v>0</v>
      </c>
      <c r="E36" s="102">
        <f>-E225</f>
        <v>0</v>
      </c>
      <c r="F36" s="20">
        <f>C36-D36-E36</f>
        <v>0</v>
      </c>
      <c r="H36" s="28">
        <f>SUM(D36:F36)</f>
        <v>0</v>
      </c>
      <c r="I36" s="105">
        <f t="shared" si="11"/>
        <v>0</v>
      </c>
      <c r="J36" s="98"/>
      <c r="K36" s="98"/>
      <c r="L36" s="83">
        <v>12</v>
      </c>
      <c r="M36" s="84" t="s">
        <v>67</v>
      </c>
      <c r="N36" s="98">
        <f t="shared" si="14"/>
        <v>0</v>
      </c>
      <c r="Q36" s="103">
        <f t="shared" si="15"/>
        <v>0</v>
      </c>
      <c r="W36" s="83">
        <v>3</v>
      </c>
      <c r="X36" s="104" t="s">
        <v>49</v>
      </c>
      <c r="Y36" s="107">
        <f t="shared" ref="Y36:AD36" si="16">SUM(Y34:Y35)</f>
        <v>689652354.2433629</v>
      </c>
      <c r="Z36" s="112">
        <f t="shared" si="16"/>
        <v>0.95018750705858834</v>
      </c>
      <c r="AA36" s="107">
        <f t="shared" si="16"/>
        <v>349636785.17176819</v>
      </c>
      <c r="AB36" s="112">
        <f t="shared" si="16"/>
        <v>0.91348267306051401</v>
      </c>
      <c r="AC36" s="107">
        <f t="shared" si="16"/>
        <v>340015569.07159483</v>
      </c>
      <c r="AD36" s="112">
        <f t="shared" si="16"/>
        <v>0.93172964298576932</v>
      </c>
    </row>
    <row r="37" spans="1:30" x14ac:dyDescent="0.2">
      <c r="C37" s="102"/>
      <c r="D37" s="102"/>
      <c r="E37" s="102"/>
      <c r="F37" s="28"/>
      <c r="H37" s="28"/>
      <c r="I37" s="30"/>
      <c r="J37" s="101"/>
      <c r="K37" s="98"/>
      <c r="L37" s="83"/>
      <c r="W37" s="83"/>
      <c r="X37" s="109"/>
      <c r="Z37" s="83"/>
      <c r="AB37" s="83"/>
    </row>
    <row r="38" spans="1:30" ht="16.5" x14ac:dyDescent="0.3">
      <c r="A38" s="83">
        <v>14</v>
      </c>
      <c r="B38" s="100" t="s">
        <v>68</v>
      </c>
      <c r="C38" s="31">
        <f t="shared" ref="C38:H38" si="17">SUM(C32:C36)</f>
        <v>86673486.582866684</v>
      </c>
      <c r="D38" s="31">
        <f t="shared" si="17"/>
        <v>183751410.90499979</v>
      </c>
      <c r="E38" s="31">
        <f t="shared" si="17"/>
        <v>0</v>
      </c>
      <c r="F38" s="31">
        <f t="shared" si="17"/>
        <v>-97077924.322133109</v>
      </c>
      <c r="G38" s="31">
        <f t="shared" si="17"/>
        <v>0</v>
      </c>
      <c r="H38" s="31">
        <f t="shared" si="17"/>
        <v>86673486.582866684</v>
      </c>
      <c r="I38" s="32">
        <f>IF(D38&lt;&gt;0,C38/D38,0)</f>
        <v>0.47168882217550545</v>
      </c>
      <c r="J38" s="99"/>
      <c r="K38" s="98"/>
      <c r="L38" s="83">
        <v>13</v>
      </c>
      <c r="M38" s="100" t="s">
        <v>68</v>
      </c>
      <c r="N38" s="31">
        <f t="shared" ref="N38:Q38" si="18">SUM(N32:N36)</f>
        <v>86673486.582866684</v>
      </c>
      <c r="O38" s="31">
        <f t="shared" si="18"/>
        <v>0</v>
      </c>
      <c r="P38" s="31">
        <f t="shared" si="18"/>
        <v>0</v>
      </c>
      <c r="Q38" s="31">
        <f t="shared" si="18"/>
        <v>86673486.582866684</v>
      </c>
      <c r="W38" s="83">
        <v>4</v>
      </c>
      <c r="X38" s="84" t="s">
        <v>51</v>
      </c>
      <c r="Y38" s="14">
        <f>SUM(AA38,AC38)</f>
        <v>50532697.756636947</v>
      </c>
      <c r="Z38" s="27">
        <v>4.9812492941411594E-2</v>
      </c>
      <c r="AA38" s="14">
        <f>AA$44*Z38</f>
        <v>18329308.440752484</v>
      </c>
      <c r="AB38" s="27">
        <v>8.6517326939485953E-2</v>
      </c>
      <c r="AC38" s="14">
        <f>AC$44*AB38</f>
        <v>32203389.315884463</v>
      </c>
      <c r="AD38" s="27">
        <f>Y38/Y$44</f>
        <v>6.8270357014230759E-2</v>
      </c>
    </row>
    <row r="39" spans="1:30" x14ac:dyDescent="0.2">
      <c r="C39" s="20"/>
      <c r="D39" s="20"/>
      <c r="E39" s="20"/>
      <c r="F39" s="20"/>
      <c r="H39" s="20"/>
      <c r="I39" s="33"/>
      <c r="K39" s="98"/>
      <c r="L39" s="83"/>
      <c r="W39" s="83"/>
      <c r="X39" s="92"/>
      <c r="AD39" s="98"/>
    </row>
    <row r="40" spans="1:30" ht="13.5" thickBot="1" x14ac:dyDescent="0.25">
      <c r="A40" s="83">
        <v>15</v>
      </c>
      <c r="B40" s="100" t="s">
        <v>69</v>
      </c>
      <c r="C40" s="34">
        <f t="shared" ref="C40:H40" si="19">SUM(C23:C29,C38)</f>
        <v>1299669916.7294574</v>
      </c>
      <c r="D40" s="34">
        <f t="shared" si="19"/>
        <v>1299671579.6085179</v>
      </c>
      <c r="E40" s="34">
        <f t="shared" si="19"/>
        <v>0</v>
      </c>
      <c r="F40" s="34">
        <f t="shared" si="19"/>
        <v>0</v>
      </c>
      <c r="G40" s="34">
        <f t="shared" si="19"/>
        <v>0</v>
      </c>
      <c r="H40" s="34">
        <f t="shared" si="19"/>
        <v>1299671579.6085179</v>
      </c>
      <c r="I40" s="35">
        <f>IF(D40&lt;&gt;0,C40/D40,0)</f>
        <v>0.99999872053902961</v>
      </c>
      <c r="J40" s="99"/>
      <c r="K40" s="98"/>
      <c r="L40" s="83">
        <v>14</v>
      </c>
      <c r="M40" s="100" t="s">
        <v>69</v>
      </c>
      <c r="N40" s="34">
        <f t="shared" ref="N40:Q40" si="20">SUM(N23:N29,N38)</f>
        <v>1299671579.6085179</v>
      </c>
      <c r="O40" s="34">
        <f t="shared" si="20"/>
        <v>0</v>
      </c>
      <c r="P40" s="34">
        <f t="shared" si="20"/>
        <v>0</v>
      </c>
      <c r="Q40" s="34">
        <f t="shared" si="20"/>
        <v>1299671579.6085179</v>
      </c>
      <c r="W40" s="83">
        <v>5</v>
      </c>
      <c r="X40" s="84" t="s">
        <v>53</v>
      </c>
      <c r="AD40" s="98"/>
    </row>
    <row r="41" spans="1:30" ht="13.5" thickTop="1" x14ac:dyDescent="0.2">
      <c r="C41" s="113"/>
      <c r="D41" s="98"/>
      <c r="H41" s="98"/>
      <c r="I41" s="101"/>
      <c r="L41" s="83"/>
      <c r="W41" s="83">
        <v>6</v>
      </c>
      <c r="X41" s="84" t="s">
        <v>54</v>
      </c>
      <c r="AD41" s="98"/>
    </row>
    <row r="42" spans="1:30" ht="14.25" x14ac:dyDescent="0.2">
      <c r="A42" s="114"/>
      <c r="B42" s="33"/>
      <c r="C42" s="113"/>
      <c r="D42" s="113"/>
      <c r="H42" s="98"/>
      <c r="I42" s="101"/>
      <c r="L42" s="114">
        <v>1</v>
      </c>
      <c r="M42" s="92" t="str">
        <f>"The $"&amp;TEXT(ABS(O22),"0,000")&amp;" represents the Island Interconnected Rural rate mitigation allocation."</f>
        <v>The $0,000 represents the Island Interconnected Rural rate mitigation allocation.</v>
      </c>
      <c r="W42" s="83">
        <v>7</v>
      </c>
      <c r="X42" s="84" t="s">
        <v>56</v>
      </c>
      <c r="AD42" s="98"/>
    </row>
    <row r="43" spans="1:30" x14ac:dyDescent="0.2">
      <c r="B43" s="104"/>
      <c r="C43" s="115"/>
      <c r="D43" s="115"/>
      <c r="E43" s="116"/>
      <c r="H43" s="98"/>
      <c r="W43" s="83"/>
    </row>
    <row r="44" spans="1:30" ht="13.5" thickBot="1" x14ac:dyDescent="0.25">
      <c r="C44" s="98"/>
      <c r="D44" s="98"/>
      <c r="E44" s="115"/>
      <c r="H44" s="98"/>
      <c r="W44" s="83">
        <v>8</v>
      </c>
      <c r="X44" s="100" t="s">
        <v>69</v>
      </c>
      <c r="Y44" s="34">
        <f>SUM(Y36:Y38)</f>
        <v>740185051.99999988</v>
      </c>
      <c r="Z44" s="117">
        <f>SUM(Z36:Z42)</f>
        <v>0.99999999999999989</v>
      </c>
      <c r="AA44" s="34">
        <f>Z23</f>
        <v>367966093.61252069</v>
      </c>
      <c r="AB44" s="117">
        <f>SUM(AB36:AB42)</f>
        <v>1</v>
      </c>
      <c r="AC44" s="34">
        <f>AA23</f>
        <v>372218958.38747931</v>
      </c>
      <c r="AD44" s="117">
        <f>SUM(AD36:AD42)</f>
        <v>1</v>
      </c>
    </row>
    <row r="45" spans="1:30" ht="13.5" thickTop="1" x14ac:dyDescent="0.2">
      <c r="B45" s="118"/>
      <c r="C45" s="98"/>
      <c r="W45" s="83"/>
      <c r="AD45" s="98"/>
    </row>
    <row r="46" spans="1:30" x14ac:dyDescent="0.2">
      <c r="B46" s="118"/>
      <c r="D46" s="101"/>
      <c r="F46" s="101"/>
      <c r="H46" s="101"/>
      <c r="K46" s="101"/>
      <c r="W46" s="83"/>
    </row>
    <row r="47" spans="1:30" x14ac:dyDescent="0.2">
      <c r="D47" s="101"/>
      <c r="F47" s="101"/>
      <c r="K47" s="101"/>
      <c r="W47" s="83"/>
      <c r="X47" s="100"/>
    </row>
    <row r="48" spans="1:30" ht="20.25" customHeight="1" x14ac:dyDescent="0.2">
      <c r="D48" s="101"/>
      <c r="I48" s="85" t="s">
        <v>0</v>
      </c>
      <c r="W48" s="83"/>
    </row>
    <row r="49" spans="1:24" x14ac:dyDescent="0.2">
      <c r="I49" s="85" t="s">
        <v>70</v>
      </c>
    </row>
    <row r="50" spans="1:24" x14ac:dyDescent="0.2">
      <c r="I50" s="87"/>
      <c r="R50" s="83"/>
      <c r="W50" s="83"/>
    </row>
    <row r="51" spans="1:24" ht="14.25" x14ac:dyDescent="0.2">
      <c r="W51" s="114"/>
      <c r="X51" s="92"/>
    </row>
    <row r="52" spans="1:24" x14ac:dyDescent="0.2">
      <c r="A52" s="88" t="str">
        <f>+A6</f>
        <v>NEWFOUNDLAND AND LABRADOR HYDRO</v>
      </c>
      <c r="B52" s="88"/>
      <c r="C52" s="88"/>
      <c r="D52" s="88"/>
      <c r="E52" s="88"/>
      <c r="F52" s="88"/>
      <c r="G52" s="88"/>
      <c r="H52" s="88"/>
      <c r="I52" s="88"/>
    </row>
    <row r="53" spans="1:24" x14ac:dyDescent="0.2">
      <c r="A53" s="88" t="str">
        <f>RunName</f>
        <v>2027 Test Year Cost of Service Study (No Rate Mitigation)</v>
      </c>
      <c r="B53" s="88"/>
      <c r="C53" s="88"/>
      <c r="D53" s="88"/>
      <c r="E53" s="88"/>
      <c r="F53" s="88"/>
      <c r="G53" s="88"/>
      <c r="H53" s="88"/>
      <c r="I53" s="88"/>
    </row>
    <row r="54" spans="1:24" x14ac:dyDescent="0.2">
      <c r="A54" s="88" t="s">
        <v>63</v>
      </c>
      <c r="B54" s="88"/>
      <c r="C54" s="88"/>
      <c r="D54" s="88"/>
      <c r="E54" s="88"/>
      <c r="F54" s="88"/>
      <c r="G54" s="88"/>
      <c r="H54" s="88"/>
      <c r="I54" s="88"/>
    </row>
    <row r="55" spans="1:24" x14ac:dyDescent="0.2">
      <c r="A55" s="88" t="s">
        <v>9</v>
      </c>
      <c r="B55" s="88"/>
      <c r="C55" s="88"/>
      <c r="D55" s="88"/>
      <c r="E55" s="88"/>
      <c r="F55" s="88"/>
      <c r="G55" s="88"/>
      <c r="H55" s="88"/>
      <c r="I55" s="88"/>
    </row>
    <row r="56" spans="1:24" x14ac:dyDescent="0.2">
      <c r="B56" s="119"/>
      <c r="C56" s="119"/>
      <c r="D56" s="119"/>
      <c r="E56" s="119"/>
      <c r="F56" s="119"/>
      <c r="H56" s="119"/>
      <c r="I56" s="119"/>
    </row>
    <row r="57" spans="1:24" x14ac:dyDescent="0.2">
      <c r="B57" s="83">
        <f t="shared" ref="B57:I57" si="21">MAX(A57)+NoOne</f>
        <v>1</v>
      </c>
      <c r="C57" s="83">
        <f t="shared" si="21"/>
        <v>2</v>
      </c>
      <c r="D57" s="83">
        <f t="shared" si="21"/>
        <v>3</v>
      </c>
      <c r="E57" s="83">
        <f t="shared" si="21"/>
        <v>4</v>
      </c>
      <c r="F57" s="83">
        <f t="shared" si="21"/>
        <v>5</v>
      </c>
      <c r="G57" s="83">
        <f t="shared" si="21"/>
        <v>6</v>
      </c>
      <c r="H57" s="83">
        <v>6</v>
      </c>
      <c r="I57" s="83">
        <f t="shared" si="21"/>
        <v>7</v>
      </c>
    </row>
    <row r="58" spans="1:24" x14ac:dyDescent="0.2">
      <c r="E58" s="83"/>
      <c r="G58" s="83"/>
      <c r="H58" s="83"/>
      <c r="I58" s="83"/>
    </row>
    <row r="59" spans="1:24" s="83" customFormat="1" x14ac:dyDescent="0.2">
      <c r="D59" s="90" t="s">
        <v>12</v>
      </c>
      <c r="G59" s="84"/>
      <c r="H59" s="90" t="s">
        <v>13</v>
      </c>
      <c r="I59" s="83" t="s">
        <v>14</v>
      </c>
    </row>
    <row r="60" spans="1:24" s="83" customFormat="1" x14ac:dyDescent="0.2">
      <c r="A60" s="83" t="s">
        <v>17</v>
      </c>
      <c r="D60" s="83" t="s">
        <v>18</v>
      </c>
      <c r="E60" s="83" t="s">
        <v>14</v>
      </c>
      <c r="F60" s="83" t="s">
        <v>30</v>
      </c>
      <c r="G60" s="90" t="s">
        <v>19</v>
      </c>
      <c r="H60" s="90" t="s">
        <v>20</v>
      </c>
      <c r="I60" s="83" t="s">
        <v>21</v>
      </c>
    </row>
    <row r="61" spans="1:24" x14ac:dyDescent="0.2">
      <c r="A61" s="83" t="s">
        <v>25</v>
      </c>
      <c r="B61" s="83" t="s">
        <v>26</v>
      </c>
      <c r="C61" s="83" t="s">
        <v>27</v>
      </c>
      <c r="D61" s="83" t="s">
        <v>28</v>
      </c>
      <c r="E61" s="83" t="s">
        <v>71</v>
      </c>
      <c r="F61" s="83" t="s">
        <v>72</v>
      </c>
      <c r="G61" s="83" t="s">
        <v>31</v>
      </c>
      <c r="H61" s="83" t="s">
        <v>28</v>
      </c>
      <c r="I61" s="83" t="s">
        <v>32</v>
      </c>
    </row>
    <row r="62" spans="1:24" x14ac:dyDescent="0.2">
      <c r="B62" s="83"/>
      <c r="C62" s="83"/>
      <c r="D62" s="83"/>
      <c r="E62" s="83"/>
      <c r="F62" s="83"/>
      <c r="H62" s="11" t="s">
        <v>38</v>
      </c>
      <c r="I62" s="83" t="s">
        <v>39</v>
      </c>
    </row>
    <row r="63" spans="1:24" x14ac:dyDescent="0.2">
      <c r="B63" s="83"/>
      <c r="C63" s="83" t="s">
        <v>40</v>
      </c>
      <c r="D63" s="83" t="s">
        <v>40</v>
      </c>
      <c r="E63" s="83" t="s">
        <v>40</v>
      </c>
      <c r="F63" s="83" t="s">
        <v>40</v>
      </c>
      <c r="G63" s="83" t="s">
        <v>40</v>
      </c>
      <c r="H63" s="83" t="s">
        <v>40</v>
      </c>
      <c r="I63" s="83"/>
    </row>
    <row r="64" spans="1:24" x14ac:dyDescent="0.2">
      <c r="H64" s="98"/>
    </row>
    <row r="65" spans="1:18" x14ac:dyDescent="0.2">
      <c r="B65" s="100" t="s">
        <v>63</v>
      </c>
      <c r="H65" s="98"/>
    </row>
    <row r="66" spans="1:18" x14ac:dyDescent="0.2">
      <c r="A66" s="83">
        <v>1</v>
      </c>
      <c r="B66" s="109" t="s">
        <v>44</v>
      </c>
      <c r="C66" s="98">
        <v>1104811717.28</v>
      </c>
      <c r="D66" s="98">
        <v>1009624140.6639924</v>
      </c>
      <c r="E66" s="98">
        <f>(D66/($D$66+$D$70+$D$87))*-$E$95</f>
        <v>0</v>
      </c>
      <c r="F66" s="98">
        <f>+C320-D273</f>
        <v>95188620.584301099</v>
      </c>
      <c r="G66" s="98">
        <f>-G67</f>
        <v>0</v>
      </c>
      <c r="H66" s="98">
        <f>SUM(D66:G66)</f>
        <v>1104812761.2482934</v>
      </c>
      <c r="I66" s="120"/>
      <c r="J66" s="99"/>
    </row>
    <row r="67" spans="1:18" ht="15" x14ac:dyDescent="0.25">
      <c r="A67" s="83">
        <v>2</v>
      </c>
      <c r="B67" s="84" t="s">
        <v>73</v>
      </c>
      <c r="C67" s="44">
        <v>0</v>
      </c>
      <c r="D67" s="121"/>
      <c r="E67" s="121"/>
      <c r="F67" s="121"/>
      <c r="G67" s="98"/>
      <c r="H67" s="121">
        <f>SUM(D67:G67)</f>
        <v>0</v>
      </c>
      <c r="I67" s="122"/>
    </row>
    <row r="68" spans="1:18" ht="20.25" customHeight="1" x14ac:dyDescent="0.2">
      <c r="A68" s="83">
        <v>3</v>
      </c>
      <c r="B68" s="110" t="s">
        <v>49</v>
      </c>
      <c r="C68" s="107">
        <f t="shared" ref="C68:H68" si="22">SUM(C66:C67)</f>
        <v>1104811717.28</v>
      </c>
      <c r="D68" s="107">
        <f t="shared" si="22"/>
        <v>1009624140.6639924</v>
      </c>
      <c r="E68" s="107">
        <f t="shared" si="22"/>
        <v>0</v>
      </c>
      <c r="F68" s="107">
        <f t="shared" si="22"/>
        <v>95188620.584301099</v>
      </c>
      <c r="G68" s="107">
        <f t="shared" si="22"/>
        <v>0</v>
      </c>
      <c r="H68" s="107">
        <f t="shared" si="22"/>
        <v>1104812761.2482934</v>
      </c>
      <c r="I68" s="108">
        <f>IF(D68&lt;&gt;0,C68/D68,0)</f>
        <v>1.0942802106072922</v>
      </c>
    </row>
    <row r="69" spans="1:18" ht="20.25" customHeight="1" x14ac:dyDescent="0.2">
      <c r="B69" s="100"/>
      <c r="C69" s="123"/>
      <c r="D69" s="123"/>
      <c r="E69" s="123"/>
      <c r="F69" s="123"/>
      <c r="H69" s="123"/>
      <c r="I69" s="124"/>
    </row>
    <row r="70" spans="1:18" x14ac:dyDescent="0.2">
      <c r="A70" s="83">
        <v>4</v>
      </c>
      <c r="B70" s="84" t="s">
        <v>74</v>
      </c>
      <c r="C70" s="98">
        <v>77081467.060000017</v>
      </c>
      <c r="D70" s="98">
        <v>77084808.23695381</v>
      </c>
      <c r="E70" s="98">
        <f>(D70/($D$66+$D$70+$D$87))*-$E$95</f>
        <v>0</v>
      </c>
      <c r="F70" s="98"/>
      <c r="H70" s="98">
        <f>SUM(D70:F70)</f>
        <v>77084808.23695381</v>
      </c>
      <c r="I70" s="120"/>
      <c r="J70" s="99"/>
    </row>
    <row r="71" spans="1:18" x14ac:dyDescent="0.2">
      <c r="A71" s="83">
        <v>5</v>
      </c>
      <c r="B71" s="84" t="s">
        <v>75</v>
      </c>
      <c r="C71" s="98">
        <v>0</v>
      </c>
      <c r="D71" s="98">
        <v>0</v>
      </c>
      <c r="E71" s="98">
        <f>+E95</f>
        <v>0</v>
      </c>
      <c r="F71" s="98"/>
      <c r="H71" s="98">
        <f>+C71</f>
        <v>0</v>
      </c>
      <c r="I71" s="120"/>
    </row>
    <row r="72" spans="1:18" ht="15" x14ac:dyDescent="0.25">
      <c r="A72" s="83">
        <v>6</v>
      </c>
      <c r="B72" s="84" t="s">
        <v>76</v>
      </c>
      <c r="C72" s="44">
        <v>0</v>
      </c>
      <c r="D72" s="98"/>
      <c r="E72" s="98"/>
      <c r="F72" s="98"/>
      <c r="H72" s="98">
        <f>SUM(D72:F72)</f>
        <v>0</v>
      </c>
      <c r="I72" s="120"/>
    </row>
    <row r="73" spans="1:18" x14ac:dyDescent="0.2">
      <c r="A73" s="83">
        <v>7</v>
      </c>
      <c r="B73" s="110" t="s">
        <v>77</v>
      </c>
      <c r="C73" s="107">
        <f>SUM(C70:C72)</f>
        <v>77081467.060000017</v>
      </c>
      <c r="D73" s="107">
        <f>SUM(D70:D72)</f>
        <v>77084808.23695381</v>
      </c>
      <c r="E73" s="107">
        <f>SUM(E70:E72)</f>
        <v>0</v>
      </c>
      <c r="F73" s="107">
        <f>SUM(F70:F72)</f>
        <v>0</v>
      </c>
      <c r="G73" s="107"/>
      <c r="H73" s="107">
        <f>SUM(H70:H72)</f>
        <v>77084808.23695381</v>
      </c>
      <c r="I73" s="108">
        <f>IF(D73&lt;&gt;0,C73/D73,0)</f>
        <v>0.99995665583102289</v>
      </c>
    </row>
    <row r="74" spans="1:18" x14ac:dyDescent="0.2">
      <c r="B74" s="100"/>
      <c r="C74" s="123"/>
      <c r="D74" s="123"/>
      <c r="E74" s="123"/>
      <c r="F74" s="123"/>
      <c r="G74" s="123"/>
      <c r="H74" s="123"/>
      <c r="I74" s="124"/>
    </row>
    <row r="75" spans="1:18" ht="15" x14ac:dyDescent="0.25">
      <c r="A75" s="83">
        <v>8</v>
      </c>
      <c r="B75" s="100" t="s">
        <v>52</v>
      </c>
      <c r="C75" s="49">
        <v>0</v>
      </c>
      <c r="D75" s="125"/>
      <c r="E75" s="125"/>
      <c r="F75" s="125"/>
      <c r="G75" s="125"/>
      <c r="H75" s="125"/>
      <c r="I75" s="126"/>
    </row>
    <row r="76" spans="1:18" x14ac:dyDescent="0.2">
      <c r="B76" s="100"/>
      <c r="C76" s="123"/>
      <c r="D76" s="123"/>
      <c r="E76" s="123"/>
      <c r="F76" s="123"/>
      <c r="H76" s="123"/>
      <c r="I76" s="124"/>
    </row>
    <row r="77" spans="1:18" x14ac:dyDescent="0.2">
      <c r="B77" s="100" t="s">
        <v>78</v>
      </c>
      <c r="C77" s="98"/>
      <c r="D77" s="98"/>
      <c r="E77" s="98"/>
      <c r="F77" s="98"/>
      <c r="H77" s="98"/>
    </row>
    <row r="78" spans="1:18" ht="15" x14ac:dyDescent="0.25">
      <c r="A78" s="83">
        <f t="shared" ref="A78" si="23">MAX(A75:A77)+NoOne</f>
        <v>9</v>
      </c>
      <c r="B78" s="84" t="s">
        <v>79</v>
      </c>
      <c r="C78" s="52">
        <v>18788947.558794092</v>
      </c>
      <c r="D78" s="14">
        <v>37388533.799196705</v>
      </c>
      <c r="E78" s="14">
        <f t="shared" ref="E78:E85" si="24">(D78/($D$66+$D$70+$D$87))*-$E$95</f>
        <v>0</v>
      </c>
      <c r="F78" s="14">
        <f>C78-D78-E78</f>
        <v>-18599586.240402613</v>
      </c>
      <c r="G78" s="14"/>
      <c r="H78" s="14">
        <f t="shared" ref="H78:H85" si="25">SUM(D78:F78)</f>
        <v>18788947.558794092</v>
      </c>
      <c r="I78" s="53">
        <f>IF(D78&lt;&gt;0,C78/D78,0)</f>
        <v>0.5025323448013298</v>
      </c>
      <c r="K78" s="84" t="s">
        <v>80</v>
      </c>
      <c r="R78" s="83"/>
    </row>
    <row r="79" spans="1:18" ht="15" x14ac:dyDescent="0.25">
      <c r="A79" s="83">
        <f t="shared" ref="A79" si="26">MAX(A76:A78)+NoOne</f>
        <v>10</v>
      </c>
      <c r="B79" s="84" t="s">
        <v>81</v>
      </c>
      <c r="C79" s="52">
        <v>23929645.322584182</v>
      </c>
      <c r="D79" s="14">
        <v>42858447.734829403</v>
      </c>
      <c r="E79" s="14">
        <f t="shared" si="24"/>
        <v>0</v>
      </c>
      <c r="F79" s="14">
        <f t="shared" ref="F79:F85" si="27">C79-D79-E79</f>
        <v>-18928802.412245221</v>
      </c>
      <c r="G79" s="14"/>
      <c r="H79" s="14">
        <f t="shared" si="25"/>
        <v>23929645.322584182</v>
      </c>
      <c r="I79" s="53">
        <f t="shared" ref="I79:I85" si="28">IF(D79&lt;&gt;0,C79/D79,0)</f>
        <v>0.55834139095843838</v>
      </c>
      <c r="K79" s="84" t="s">
        <v>82</v>
      </c>
    </row>
    <row r="80" spans="1:18" ht="15" x14ac:dyDescent="0.25">
      <c r="A80" s="83">
        <f t="shared" ref="A80" si="29">MAX(A77:A79)+NoOne</f>
        <v>11</v>
      </c>
      <c r="B80" s="84" t="s">
        <v>83</v>
      </c>
      <c r="C80" s="52">
        <v>21703.949999999997</v>
      </c>
      <c r="D80" s="14">
        <v>120316.18125630789</v>
      </c>
      <c r="E80" s="14">
        <f t="shared" si="24"/>
        <v>0</v>
      </c>
      <c r="F80" s="14">
        <f t="shared" si="27"/>
        <v>-98612.231256307889</v>
      </c>
      <c r="G80" s="14"/>
      <c r="H80" s="14">
        <f t="shared" si="25"/>
        <v>21703.949999999997</v>
      </c>
      <c r="I80" s="53">
        <f t="shared" si="28"/>
        <v>0.18039094802854799</v>
      </c>
      <c r="K80" s="84" t="s">
        <v>84</v>
      </c>
    </row>
    <row r="81" spans="1:11" ht="15" x14ac:dyDescent="0.25">
      <c r="A81" s="83">
        <f t="shared" ref="A81" si="30">MAX(A78:A80)+NoOne</f>
        <v>12</v>
      </c>
      <c r="B81" s="92" t="s">
        <v>85</v>
      </c>
      <c r="C81" s="52">
        <v>12084583.400972759</v>
      </c>
      <c r="D81" s="14">
        <v>18726443.10237832</v>
      </c>
      <c r="E81" s="14">
        <f t="shared" si="24"/>
        <v>0</v>
      </c>
      <c r="F81" s="14">
        <f t="shared" si="27"/>
        <v>-6641859.7014055606</v>
      </c>
      <c r="G81" s="14"/>
      <c r="H81" s="14">
        <f t="shared" si="25"/>
        <v>12084583.400972759</v>
      </c>
      <c r="I81" s="53">
        <f t="shared" si="28"/>
        <v>0.64532187639189087</v>
      </c>
      <c r="K81" s="84" t="s">
        <v>86</v>
      </c>
    </row>
    <row r="82" spans="1:11" ht="14.45" hidden="1" customHeight="1" x14ac:dyDescent="0.25">
      <c r="A82" s="83">
        <f t="shared" ref="A82" si="31">MAX(A79:A81)+NoOne</f>
        <v>13</v>
      </c>
      <c r="B82" s="84" t="s">
        <v>87</v>
      </c>
      <c r="C82" s="52">
        <v>0</v>
      </c>
      <c r="D82" s="14">
        <v>0</v>
      </c>
      <c r="E82" s="14">
        <f t="shared" si="24"/>
        <v>0</v>
      </c>
      <c r="F82" s="14">
        <f t="shared" si="27"/>
        <v>0</v>
      </c>
      <c r="G82" s="14"/>
      <c r="H82" s="14">
        <f t="shared" si="25"/>
        <v>0</v>
      </c>
      <c r="I82" s="53">
        <f t="shared" si="28"/>
        <v>0</v>
      </c>
      <c r="K82" s="84" t="s">
        <v>88</v>
      </c>
    </row>
    <row r="83" spans="1:11" ht="15" x14ac:dyDescent="0.25">
      <c r="A83" s="83">
        <v>13</v>
      </c>
      <c r="B83" s="84" t="s">
        <v>89</v>
      </c>
      <c r="C83" s="52">
        <v>7645700.2165019428</v>
      </c>
      <c r="D83" s="14">
        <v>11511869.290480131</v>
      </c>
      <c r="E83" s="14">
        <f t="shared" si="24"/>
        <v>0</v>
      </c>
      <c r="F83" s="14">
        <f t="shared" si="27"/>
        <v>-3866169.0739781884</v>
      </c>
      <c r="G83" s="14"/>
      <c r="H83" s="14">
        <f t="shared" si="25"/>
        <v>7645700.2165019428</v>
      </c>
      <c r="I83" s="53">
        <f t="shared" si="28"/>
        <v>0.66415801149033549</v>
      </c>
      <c r="K83" s="84" t="s">
        <v>90</v>
      </c>
    </row>
    <row r="84" spans="1:11" ht="15" x14ac:dyDescent="0.25">
      <c r="A84" s="83">
        <f t="shared" ref="A84" si="32">MAX(A81:A83)+NoOne</f>
        <v>14</v>
      </c>
      <c r="B84" s="84" t="s">
        <v>91</v>
      </c>
      <c r="C84" s="52">
        <v>5260869.3307651561</v>
      </c>
      <c r="D84" s="14">
        <v>7187261.5622420013</v>
      </c>
      <c r="E84" s="14">
        <f t="shared" si="24"/>
        <v>0</v>
      </c>
      <c r="F84" s="14">
        <f t="shared" si="27"/>
        <v>-1926392.2314768452</v>
      </c>
      <c r="G84" s="14"/>
      <c r="H84" s="14">
        <f t="shared" si="25"/>
        <v>5260869.3307651561</v>
      </c>
      <c r="I84" s="53">
        <f t="shared" si="28"/>
        <v>0.73197131970303242</v>
      </c>
      <c r="K84" s="84" t="s">
        <v>92</v>
      </c>
    </row>
    <row r="85" spans="1:11" ht="15" x14ac:dyDescent="0.25">
      <c r="A85" s="83">
        <f t="shared" ref="A85" si="33">MAX(A82:A84)+NoOne</f>
        <v>15</v>
      </c>
      <c r="B85" s="84" t="s">
        <v>93</v>
      </c>
      <c r="C85" s="52">
        <v>1177608.1732799991</v>
      </c>
      <c r="D85" s="14">
        <v>1630153.6727959702</v>
      </c>
      <c r="E85" s="14">
        <f t="shared" si="24"/>
        <v>0</v>
      </c>
      <c r="F85" s="14">
        <f t="shared" si="27"/>
        <v>-452545.49951597117</v>
      </c>
      <c r="G85" s="14"/>
      <c r="H85" s="14">
        <f t="shared" si="25"/>
        <v>1177608.1732799991</v>
      </c>
      <c r="I85" s="53">
        <f t="shared" si="28"/>
        <v>0.72239089659578881</v>
      </c>
      <c r="K85" s="84" t="s">
        <v>94</v>
      </c>
    </row>
    <row r="86" spans="1:11" x14ac:dyDescent="0.2">
      <c r="B86" s="98"/>
      <c r="C86" s="98"/>
      <c r="D86" s="98"/>
      <c r="E86" s="98"/>
      <c r="F86" s="98"/>
      <c r="H86" s="98"/>
      <c r="I86" s="127"/>
    </row>
    <row r="87" spans="1:11" x14ac:dyDescent="0.2">
      <c r="A87" s="83">
        <v>16</v>
      </c>
      <c r="B87" s="100" t="s">
        <v>95</v>
      </c>
      <c r="C87" s="31">
        <f>SUM(C78:C85)</f>
        <v>68909057.952898145</v>
      </c>
      <c r="D87" s="31">
        <f>SUM(D78:D85)</f>
        <v>119423025.34317885</v>
      </c>
      <c r="E87" s="31">
        <f>SUM(E78:E85)</f>
        <v>0</v>
      </c>
      <c r="F87" s="31">
        <f>SUM(F78:F85)</f>
        <v>-50513967.390280709</v>
      </c>
      <c r="G87" s="31"/>
      <c r="H87" s="31">
        <f>SUM(H78:H85)</f>
        <v>68909057.952898145</v>
      </c>
      <c r="I87" s="32">
        <f>IF(D87&lt;&gt;0,C87/D87,0)</f>
        <v>0.57701651549086352</v>
      </c>
      <c r="J87" s="99"/>
    </row>
    <row r="88" spans="1:11" ht="13.5" thickBot="1" x14ac:dyDescent="0.25">
      <c r="A88" s="83">
        <v>17</v>
      </c>
      <c r="B88" s="100" t="s">
        <v>96</v>
      </c>
      <c r="C88" s="128">
        <f>SUM(C87,C73,C68,C75)</f>
        <v>1250802242.2928982</v>
      </c>
      <c r="D88" s="128">
        <f>SUM(D87,D73,D68,D75)</f>
        <v>1206131974.2441251</v>
      </c>
      <c r="E88" s="128">
        <f>SUM(E87,E73,E68,E75)</f>
        <v>0</v>
      </c>
      <c r="F88" s="128">
        <f>SUM(F87,F73,F68,F75)</f>
        <v>44674653.194020391</v>
      </c>
      <c r="G88" s="128"/>
      <c r="H88" s="128">
        <f>SUM(H87,H73,H68,H75)</f>
        <v>1250806627.4381454</v>
      </c>
      <c r="I88" s="35">
        <f>IF(D88&lt;&gt;0,C88/D88,0)</f>
        <v>1.0370359703603478</v>
      </c>
    </row>
    <row r="89" spans="1:11" ht="13.5" thickTop="1" x14ac:dyDescent="0.2">
      <c r="H89" s="98"/>
    </row>
    <row r="90" spans="1:11" ht="15" x14ac:dyDescent="0.25">
      <c r="C90" s="129"/>
      <c r="D90" s="14"/>
      <c r="H90" s="98"/>
    </row>
    <row r="91" spans="1:11" x14ac:dyDescent="0.2">
      <c r="H91" s="98"/>
    </row>
    <row r="92" spans="1:11" x14ac:dyDescent="0.2">
      <c r="B92" s="109"/>
    </row>
    <row r="93" spans="1:11" x14ac:dyDescent="0.2">
      <c r="B93" s="118"/>
      <c r="E93" s="98"/>
    </row>
    <row r="94" spans="1:11" hidden="1" x14ac:dyDescent="0.2">
      <c r="B94" s="118"/>
    </row>
    <row r="95" spans="1:11" hidden="1" x14ac:dyDescent="0.2">
      <c r="B95" s="130"/>
    </row>
    <row r="96" spans="1:11" hidden="1" x14ac:dyDescent="0.2"/>
    <row r="97" spans="1:18" x14ac:dyDescent="0.2">
      <c r="I97" s="85" t="s">
        <v>0</v>
      </c>
    </row>
    <row r="98" spans="1:18" x14ac:dyDescent="0.2">
      <c r="I98" s="85" t="s">
        <v>97</v>
      </c>
    </row>
    <row r="99" spans="1:18" x14ac:dyDescent="0.2">
      <c r="I99" s="87"/>
    </row>
    <row r="101" spans="1:18" x14ac:dyDescent="0.2">
      <c r="A101" s="88" t="str">
        <f>+A6</f>
        <v>NEWFOUNDLAND AND LABRADOR HYDRO</v>
      </c>
      <c r="B101" s="88"/>
      <c r="C101" s="88"/>
      <c r="D101" s="88"/>
      <c r="E101" s="88"/>
      <c r="F101" s="88"/>
      <c r="G101" s="88"/>
      <c r="H101" s="88"/>
      <c r="I101" s="88"/>
    </row>
    <row r="102" spans="1:18" x14ac:dyDescent="0.2">
      <c r="A102" s="88" t="str">
        <f>RunName</f>
        <v>2027 Test Year Cost of Service Study (No Rate Mitigation)</v>
      </c>
      <c r="B102" s="88"/>
      <c r="C102" s="88"/>
      <c r="D102" s="88"/>
      <c r="E102" s="88"/>
      <c r="F102" s="88"/>
      <c r="G102" s="88"/>
      <c r="H102" s="88"/>
      <c r="I102" s="88"/>
    </row>
    <row r="103" spans="1:18" x14ac:dyDescent="0.2">
      <c r="A103" s="88" t="s">
        <v>64</v>
      </c>
      <c r="B103" s="88"/>
      <c r="C103" s="88"/>
      <c r="D103" s="88"/>
      <c r="E103" s="88"/>
      <c r="F103" s="88"/>
      <c r="G103" s="88"/>
      <c r="H103" s="88"/>
      <c r="I103" s="88"/>
    </row>
    <row r="104" spans="1:18" x14ac:dyDescent="0.2">
      <c r="A104" s="88" t="s">
        <v>9</v>
      </c>
      <c r="B104" s="88"/>
      <c r="C104" s="88"/>
      <c r="D104" s="88"/>
      <c r="E104" s="88"/>
      <c r="F104" s="88"/>
      <c r="G104" s="88"/>
      <c r="H104" s="88"/>
      <c r="I104" s="88"/>
      <c r="R104" s="83"/>
    </row>
    <row r="105" spans="1:18" s="83" customFormat="1" x14ac:dyDescent="0.2"/>
    <row r="106" spans="1:18" s="83" customFormat="1" x14ac:dyDescent="0.2">
      <c r="B106" s="83">
        <f t="shared" ref="B106:I106" si="34">MAX(A106)+NoOne</f>
        <v>1</v>
      </c>
      <c r="C106" s="83">
        <f t="shared" si="34"/>
        <v>2</v>
      </c>
      <c r="D106" s="83">
        <f t="shared" si="34"/>
        <v>3</v>
      </c>
      <c r="E106" s="83">
        <f t="shared" si="34"/>
        <v>4</v>
      </c>
      <c r="F106" s="83">
        <f t="shared" si="34"/>
        <v>5</v>
      </c>
      <c r="G106" s="83">
        <f t="shared" si="34"/>
        <v>6</v>
      </c>
      <c r="H106" s="83">
        <v>6</v>
      </c>
      <c r="I106" s="83">
        <f t="shared" si="34"/>
        <v>7</v>
      </c>
    </row>
    <row r="107" spans="1:18" s="83" customFormat="1" x14ac:dyDescent="0.2"/>
    <row r="108" spans="1:18" x14ac:dyDescent="0.2">
      <c r="B108" s="83"/>
      <c r="C108" s="83"/>
      <c r="D108" s="90" t="s">
        <v>12</v>
      </c>
      <c r="E108" s="83"/>
      <c r="F108" s="83"/>
      <c r="H108" s="90" t="s">
        <v>13</v>
      </c>
      <c r="I108" s="83" t="s">
        <v>14</v>
      </c>
    </row>
    <row r="109" spans="1:18" x14ac:dyDescent="0.2">
      <c r="A109" s="83" t="s">
        <v>17</v>
      </c>
      <c r="B109" s="83"/>
      <c r="C109" s="83"/>
      <c r="D109" s="83" t="s">
        <v>18</v>
      </c>
      <c r="E109" s="83" t="s">
        <v>14</v>
      </c>
      <c r="F109" s="83"/>
      <c r="G109" s="90" t="s">
        <v>19</v>
      </c>
      <c r="H109" s="90" t="s">
        <v>20</v>
      </c>
      <c r="I109" s="83" t="s">
        <v>21</v>
      </c>
    </row>
    <row r="110" spans="1:18" x14ac:dyDescent="0.2">
      <c r="A110" s="83" t="s">
        <v>25</v>
      </c>
      <c r="B110" s="83" t="s">
        <v>26</v>
      </c>
      <c r="C110" s="83" t="s">
        <v>27</v>
      </c>
      <c r="D110" s="83" t="s">
        <v>28</v>
      </c>
      <c r="E110" s="83" t="s">
        <v>71</v>
      </c>
      <c r="F110" s="83" t="s">
        <v>30</v>
      </c>
      <c r="G110" s="83" t="s">
        <v>31</v>
      </c>
      <c r="H110" s="83" t="s">
        <v>28</v>
      </c>
      <c r="I110" s="83" t="s">
        <v>32</v>
      </c>
    </row>
    <row r="111" spans="1:18" x14ac:dyDescent="0.2">
      <c r="B111" s="83"/>
      <c r="C111" s="83"/>
      <c r="D111" s="83"/>
      <c r="E111" s="83"/>
      <c r="F111" s="83"/>
      <c r="H111" s="11" t="s">
        <v>38</v>
      </c>
      <c r="I111" s="94" t="s">
        <v>39</v>
      </c>
    </row>
    <row r="112" spans="1:18" x14ac:dyDescent="0.2">
      <c r="B112" s="83"/>
      <c r="C112" s="83" t="s">
        <v>40</v>
      </c>
      <c r="D112" s="83" t="s">
        <v>40</v>
      </c>
      <c r="E112" s="83" t="s">
        <v>40</v>
      </c>
      <c r="F112" s="83" t="s">
        <v>40</v>
      </c>
      <c r="G112" s="83" t="s">
        <v>40</v>
      </c>
      <c r="H112" s="83" t="s">
        <v>40</v>
      </c>
      <c r="I112" s="83"/>
    </row>
    <row r="115" spans="1:12" x14ac:dyDescent="0.2">
      <c r="B115" s="100" t="s">
        <v>64</v>
      </c>
    </row>
    <row r="116" spans="1:12" ht="15" x14ac:dyDescent="0.25">
      <c r="A116" s="83">
        <f t="shared" ref="A116" si="35">MAX(A113:A115)+NoOne</f>
        <v>1</v>
      </c>
      <c r="B116" s="92" t="s">
        <v>98</v>
      </c>
      <c r="C116" s="52">
        <v>809510.05334059661</v>
      </c>
      <c r="D116" s="14">
        <v>7704844.263737564</v>
      </c>
      <c r="E116" s="14"/>
      <c r="F116" s="14">
        <f>C116-D116</f>
        <v>-6895334.2103969678</v>
      </c>
      <c r="G116" s="14"/>
      <c r="H116" s="14">
        <f t="shared" ref="H116:H126" si="36">SUM(D116,F116)</f>
        <v>809510.05334059615</v>
      </c>
      <c r="I116" s="53">
        <f>IF(D116&lt;&gt;0,C116/D116,0)</f>
        <v>0.10506507667526938</v>
      </c>
      <c r="K116" s="58" t="s">
        <v>99</v>
      </c>
      <c r="L116" s="58"/>
    </row>
    <row r="117" spans="1:12" ht="15" x14ac:dyDescent="0.25">
      <c r="A117" s="83">
        <f t="shared" ref="A117" si="37">MAX(A114:A116)+NoOne</f>
        <v>2</v>
      </c>
      <c r="B117" s="92" t="s">
        <v>100</v>
      </c>
      <c r="C117" s="52">
        <v>0</v>
      </c>
      <c r="D117" s="14">
        <v>55464.455893001636</v>
      </c>
      <c r="E117" s="14"/>
      <c r="F117" s="14">
        <f t="shared" ref="F117:F126" si="38">C117-D117</f>
        <v>-55464.455893001636</v>
      </c>
      <c r="G117" s="14"/>
      <c r="H117" s="14">
        <f t="shared" si="36"/>
        <v>0</v>
      </c>
      <c r="I117" s="53">
        <f t="shared" ref="I117:I126" si="39">IF(D117&lt;&gt;0,C117/D117,0)</f>
        <v>0</v>
      </c>
      <c r="K117" s="58" t="s">
        <v>101</v>
      </c>
      <c r="L117" s="58"/>
    </row>
    <row r="118" spans="1:12" ht="15" x14ac:dyDescent="0.25">
      <c r="A118" s="83">
        <f t="shared" ref="A118" si="40">MAX(A115:A117)+NoOne</f>
        <v>3</v>
      </c>
      <c r="B118" s="131" t="s">
        <v>102</v>
      </c>
      <c r="C118" s="52">
        <v>54842.660460796527</v>
      </c>
      <c r="D118" s="14">
        <v>367318.76345747465</v>
      </c>
      <c r="E118" s="14"/>
      <c r="F118" s="14">
        <f t="shared" si="38"/>
        <v>-312476.10299667809</v>
      </c>
      <c r="G118" s="14"/>
      <c r="H118" s="14">
        <f t="shared" si="36"/>
        <v>54842.660460796556</v>
      </c>
      <c r="I118" s="53">
        <f t="shared" si="39"/>
        <v>0.14930536067522668</v>
      </c>
      <c r="K118" s="58" t="s">
        <v>103</v>
      </c>
      <c r="L118" s="58"/>
    </row>
    <row r="119" spans="1:12" ht="15" x14ac:dyDescent="0.25">
      <c r="A119" s="83">
        <f t="shared" ref="A119" si="41">MAX(A116:A118)+NoOne</f>
        <v>4</v>
      </c>
      <c r="B119" s="84" t="s">
        <v>104</v>
      </c>
      <c r="C119" s="52">
        <v>285054.36288423219</v>
      </c>
      <c r="D119" s="52">
        <v>823424.74077321135</v>
      </c>
      <c r="E119" s="14"/>
      <c r="F119" s="14">
        <f t="shared" si="38"/>
        <v>-538370.37788897916</v>
      </c>
      <c r="G119" s="14"/>
      <c r="H119" s="14">
        <f t="shared" si="36"/>
        <v>285054.36288423219</v>
      </c>
      <c r="I119" s="53">
        <f t="shared" si="39"/>
        <v>0.3461814404757389</v>
      </c>
      <c r="K119" s="58" t="s">
        <v>105</v>
      </c>
      <c r="L119" s="58"/>
    </row>
    <row r="120" spans="1:12" ht="15" x14ac:dyDescent="0.25">
      <c r="A120" s="83">
        <f t="shared" ref="A120" si="42">MAX(A117:A119)+NoOne</f>
        <v>5</v>
      </c>
      <c r="B120" s="92" t="s">
        <v>106</v>
      </c>
      <c r="C120" s="52">
        <v>535299.34273159155</v>
      </c>
      <c r="D120" s="52">
        <v>1290296.0560981249</v>
      </c>
      <c r="E120" s="14"/>
      <c r="F120" s="14">
        <f t="shared" si="38"/>
        <v>-754996.7133665334</v>
      </c>
      <c r="G120" s="14"/>
      <c r="H120" s="14">
        <f t="shared" si="36"/>
        <v>535299.34273159155</v>
      </c>
      <c r="I120" s="53">
        <f t="shared" si="39"/>
        <v>0.4148655188099582</v>
      </c>
      <c r="K120" s="58" t="s">
        <v>107</v>
      </c>
      <c r="L120" s="58"/>
    </row>
    <row r="121" spans="1:12" ht="15" x14ac:dyDescent="0.25">
      <c r="A121" s="83">
        <f t="shared" ref="A121" si="43">MAX(A118:A120)+NoOne</f>
        <v>6</v>
      </c>
      <c r="B121" s="92" t="s">
        <v>108</v>
      </c>
      <c r="C121" s="52">
        <v>0</v>
      </c>
      <c r="D121" s="14">
        <v>0</v>
      </c>
      <c r="E121" s="14"/>
      <c r="F121" s="14">
        <f t="shared" si="38"/>
        <v>0</v>
      </c>
      <c r="G121" s="14"/>
      <c r="H121" s="14">
        <f t="shared" si="36"/>
        <v>0</v>
      </c>
      <c r="I121" s="53">
        <f t="shared" si="39"/>
        <v>0</v>
      </c>
      <c r="K121" s="58" t="s">
        <v>109</v>
      </c>
      <c r="L121" s="58"/>
    </row>
    <row r="122" spans="1:12" ht="15" x14ac:dyDescent="0.25">
      <c r="A122" s="83">
        <f t="shared" ref="A122" si="44">MAX(A119:A121)+NoOne</f>
        <v>7</v>
      </c>
      <c r="B122" s="84" t="s">
        <v>91</v>
      </c>
      <c r="C122" s="52">
        <v>0</v>
      </c>
      <c r="D122" s="14">
        <v>0</v>
      </c>
      <c r="E122" s="14"/>
      <c r="F122" s="14">
        <f t="shared" si="38"/>
        <v>0</v>
      </c>
      <c r="G122" s="14"/>
      <c r="H122" s="14">
        <f t="shared" si="36"/>
        <v>0</v>
      </c>
      <c r="I122" s="53">
        <f t="shared" si="39"/>
        <v>0</v>
      </c>
      <c r="K122" s="58" t="s">
        <v>110</v>
      </c>
      <c r="L122" s="58"/>
    </row>
    <row r="123" spans="1:12" ht="15" hidden="1" x14ac:dyDescent="0.25">
      <c r="A123" s="83">
        <f t="shared" ref="A123" si="45">MAX(A120:A122)+NoOne</f>
        <v>8</v>
      </c>
      <c r="B123" s="92" t="s">
        <v>111</v>
      </c>
      <c r="C123" s="52">
        <v>0</v>
      </c>
      <c r="D123" s="14">
        <v>0</v>
      </c>
      <c r="E123" s="14"/>
      <c r="F123" s="14">
        <f t="shared" si="38"/>
        <v>0</v>
      </c>
      <c r="G123" s="14"/>
      <c r="H123" s="14">
        <f t="shared" si="36"/>
        <v>0</v>
      </c>
      <c r="I123" s="53">
        <f t="shared" si="39"/>
        <v>0</v>
      </c>
      <c r="K123" s="58" t="s">
        <v>112</v>
      </c>
      <c r="L123" s="58"/>
    </row>
    <row r="124" spans="1:12" ht="15" hidden="1" x14ac:dyDescent="0.25">
      <c r="A124" s="83">
        <f t="shared" ref="A124" si="46">MAX(A121:A123)+NoOne</f>
        <v>9</v>
      </c>
      <c r="B124" s="92" t="s">
        <v>113</v>
      </c>
      <c r="C124" s="52">
        <v>0</v>
      </c>
      <c r="D124" s="14">
        <v>0</v>
      </c>
      <c r="E124" s="14"/>
      <c r="F124" s="14">
        <f t="shared" si="38"/>
        <v>0</v>
      </c>
      <c r="G124" s="14"/>
      <c r="H124" s="14">
        <f t="shared" si="36"/>
        <v>0</v>
      </c>
      <c r="I124" s="53">
        <f t="shared" si="39"/>
        <v>0</v>
      </c>
      <c r="K124" s="58" t="s">
        <v>114</v>
      </c>
      <c r="L124" s="58"/>
    </row>
    <row r="125" spans="1:12" ht="15" x14ac:dyDescent="0.25">
      <c r="A125" s="83">
        <v>8</v>
      </c>
      <c r="B125" s="92" t="s">
        <v>93</v>
      </c>
      <c r="C125" s="52">
        <v>26858.520479999981</v>
      </c>
      <c r="D125" s="52">
        <v>163053.22773518122</v>
      </c>
      <c r="E125" s="14"/>
      <c r="F125" s="14">
        <f t="shared" si="38"/>
        <v>-136194.70725518125</v>
      </c>
      <c r="G125" s="14"/>
      <c r="H125" s="14">
        <f t="shared" si="36"/>
        <v>26858.520479999977</v>
      </c>
      <c r="I125" s="53">
        <f t="shared" si="39"/>
        <v>0.16472240907503879</v>
      </c>
      <c r="K125" s="58" t="s">
        <v>115</v>
      </c>
      <c r="L125" s="58"/>
    </row>
    <row r="126" spans="1:12" ht="15" x14ac:dyDescent="0.25">
      <c r="A126" s="83">
        <v>9</v>
      </c>
      <c r="B126" s="131" t="s">
        <v>116</v>
      </c>
      <c r="C126" s="52">
        <v>6384</v>
      </c>
      <c r="D126" s="14">
        <v>0</v>
      </c>
      <c r="E126" s="14"/>
      <c r="F126" s="14">
        <f t="shared" si="38"/>
        <v>6384</v>
      </c>
      <c r="G126" s="14"/>
      <c r="H126" s="14">
        <f t="shared" si="36"/>
        <v>6384</v>
      </c>
      <c r="I126" s="53">
        <f t="shared" si="39"/>
        <v>0</v>
      </c>
      <c r="K126" s="58" t="s">
        <v>117</v>
      </c>
      <c r="L126" s="58"/>
    </row>
    <row r="127" spans="1:12" x14ac:dyDescent="0.2">
      <c r="B127" s="92"/>
      <c r="C127" s="113"/>
      <c r="D127" s="113"/>
      <c r="E127" s="113"/>
      <c r="F127" s="120"/>
      <c r="H127" s="113"/>
      <c r="I127" s="127"/>
    </row>
    <row r="128" spans="1:12" ht="17.25" thickBot="1" x14ac:dyDescent="0.35">
      <c r="A128" s="83">
        <v>10</v>
      </c>
      <c r="B128" s="132" t="s">
        <v>118</v>
      </c>
      <c r="C128" s="60">
        <f>SUM(C116:C126)</f>
        <v>1717948.9398972169</v>
      </c>
      <c r="D128" s="60">
        <f>SUM(D116:D126)</f>
        <v>10404401.507694557</v>
      </c>
      <c r="E128" s="60"/>
      <c r="F128" s="60">
        <f>SUM(F116:F126)</f>
        <v>-8686452.5677973405</v>
      </c>
      <c r="G128" s="60"/>
      <c r="H128" s="60">
        <f>SUM(H116:H126)</f>
        <v>1717948.9398972164</v>
      </c>
      <c r="I128" s="61">
        <f>IF(D128&lt;&gt;0,C128/D128,0)</f>
        <v>0.16511751671893002</v>
      </c>
    </row>
    <row r="129" spans="1:18" ht="13.5" thickTop="1" x14ac:dyDescent="0.2">
      <c r="I129" s="127"/>
    </row>
    <row r="132" spans="1:18" x14ac:dyDescent="0.2">
      <c r="R132" s="83"/>
    </row>
    <row r="135" spans="1:18" x14ac:dyDescent="0.2">
      <c r="I135" s="85" t="s">
        <v>0</v>
      </c>
    </row>
    <row r="136" spans="1:18" x14ac:dyDescent="0.2">
      <c r="I136" s="85" t="s">
        <v>119</v>
      </c>
    </row>
    <row r="137" spans="1:18" x14ac:dyDescent="0.2">
      <c r="I137" s="87"/>
    </row>
    <row r="139" spans="1:18" x14ac:dyDescent="0.2">
      <c r="A139" s="88" t="str">
        <f>+A6</f>
        <v>NEWFOUNDLAND AND LABRADOR HYDRO</v>
      </c>
      <c r="B139" s="88"/>
      <c r="C139" s="88"/>
      <c r="D139" s="88"/>
      <c r="E139" s="88"/>
      <c r="F139" s="88"/>
      <c r="G139" s="88"/>
      <c r="H139" s="88"/>
      <c r="I139" s="88"/>
    </row>
    <row r="140" spans="1:18" x14ac:dyDescent="0.2">
      <c r="A140" s="88" t="str">
        <f>RunName</f>
        <v>2027 Test Year Cost of Service Study (No Rate Mitigation)</v>
      </c>
      <c r="B140" s="88"/>
      <c r="C140" s="88"/>
      <c r="D140" s="88"/>
      <c r="E140" s="88"/>
      <c r="F140" s="88"/>
      <c r="G140" s="88"/>
      <c r="H140" s="88"/>
      <c r="I140" s="88"/>
    </row>
    <row r="141" spans="1:18" x14ac:dyDescent="0.2">
      <c r="A141" s="88" t="s">
        <v>65</v>
      </c>
      <c r="B141" s="88"/>
      <c r="C141" s="88"/>
      <c r="D141" s="88"/>
      <c r="E141" s="88"/>
      <c r="F141" s="88"/>
      <c r="G141" s="88"/>
      <c r="H141" s="88"/>
      <c r="I141" s="88"/>
    </row>
    <row r="142" spans="1:18" x14ac:dyDescent="0.2">
      <c r="A142" s="88" t="s">
        <v>9</v>
      </c>
      <c r="B142" s="88"/>
      <c r="C142" s="88"/>
      <c r="D142" s="88"/>
      <c r="E142" s="88"/>
      <c r="F142" s="88"/>
      <c r="G142" s="88"/>
      <c r="H142" s="88"/>
      <c r="I142" s="88"/>
    </row>
    <row r="143" spans="1:18" s="83" customFormat="1" x14ac:dyDescent="0.2"/>
    <row r="144" spans="1:18" s="83" customFormat="1" x14ac:dyDescent="0.2">
      <c r="B144" s="83">
        <f t="shared" ref="B144:I144" si="47">MAX(A144)+NoOne</f>
        <v>1</v>
      </c>
      <c r="C144" s="83">
        <f t="shared" si="47"/>
        <v>2</v>
      </c>
      <c r="D144" s="83">
        <f t="shared" si="47"/>
        <v>3</v>
      </c>
      <c r="E144" s="83">
        <f t="shared" si="47"/>
        <v>4</v>
      </c>
      <c r="F144" s="83">
        <f t="shared" si="47"/>
        <v>5</v>
      </c>
      <c r="G144" s="83">
        <f t="shared" si="47"/>
        <v>6</v>
      </c>
      <c r="H144" s="83">
        <v>6</v>
      </c>
      <c r="I144" s="83">
        <f t="shared" si="47"/>
        <v>7</v>
      </c>
    </row>
    <row r="145" spans="1:18" s="83" customFormat="1" x14ac:dyDescent="0.2"/>
    <row r="146" spans="1:18" x14ac:dyDescent="0.2">
      <c r="B146" s="83"/>
      <c r="C146" s="83"/>
      <c r="D146" s="90" t="s">
        <v>12</v>
      </c>
      <c r="E146" s="83"/>
      <c r="F146" s="83"/>
      <c r="H146" s="90" t="s">
        <v>13</v>
      </c>
      <c r="I146" s="83" t="s">
        <v>14</v>
      </c>
    </row>
    <row r="147" spans="1:18" x14ac:dyDescent="0.2">
      <c r="A147" s="83" t="s">
        <v>17</v>
      </c>
      <c r="B147" s="83"/>
      <c r="C147" s="83"/>
      <c r="D147" s="83" t="s">
        <v>18</v>
      </c>
      <c r="E147" s="83" t="s">
        <v>14</v>
      </c>
      <c r="F147" s="83"/>
      <c r="G147" s="90" t="s">
        <v>19</v>
      </c>
      <c r="H147" s="90" t="s">
        <v>20</v>
      </c>
      <c r="I147" s="83" t="s">
        <v>21</v>
      </c>
    </row>
    <row r="148" spans="1:18" x14ac:dyDescent="0.2">
      <c r="A148" s="83" t="s">
        <v>25</v>
      </c>
      <c r="B148" s="83" t="s">
        <v>26</v>
      </c>
      <c r="C148" s="83" t="s">
        <v>27</v>
      </c>
      <c r="D148" s="83" t="s">
        <v>28</v>
      </c>
      <c r="E148" s="83" t="s">
        <v>71</v>
      </c>
      <c r="F148" s="83" t="s">
        <v>30</v>
      </c>
      <c r="G148" s="83" t="s">
        <v>31</v>
      </c>
      <c r="H148" s="83" t="s">
        <v>28</v>
      </c>
      <c r="I148" s="83" t="s">
        <v>32</v>
      </c>
    </row>
    <row r="149" spans="1:18" x14ac:dyDescent="0.2">
      <c r="B149" s="83"/>
      <c r="C149" s="83"/>
      <c r="D149" s="83"/>
      <c r="E149" s="83"/>
      <c r="F149" s="83"/>
      <c r="H149" s="11" t="s">
        <v>38</v>
      </c>
      <c r="I149" s="94" t="s">
        <v>39</v>
      </c>
    </row>
    <row r="150" spans="1:18" x14ac:dyDescent="0.2">
      <c r="B150" s="83"/>
      <c r="C150" s="83" t="s">
        <v>40</v>
      </c>
      <c r="D150" s="83" t="s">
        <v>40</v>
      </c>
      <c r="E150" s="83" t="s">
        <v>40</v>
      </c>
      <c r="F150" s="83" t="s">
        <v>40</v>
      </c>
      <c r="G150" s="83" t="s">
        <v>40</v>
      </c>
      <c r="H150" s="83" t="s">
        <v>40</v>
      </c>
      <c r="I150" s="83"/>
    </row>
    <row r="153" spans="1:18" x14ac:dyDescent="0.2">
      <c r="B153" s="100" t="s">
        <v>65</v>
      </c>
    </row>
    <row r="154" spans="1:18" ht="15" x14ac:dyDescent="0.25">
      <c r="A154" s="83">
        <f t="shared" ref="A154" si="48">MAX(A151:A153)+NoOne</f>
        <v>1</v>
      </c>
      <c r="B154" s="92" t="s">
        <v>98</v>
      </c>
      <c r="C154" s="52">
        <v>4669502.3740669573</v>
      </c>
      <c r="D154" s="14">
        <v>25171515.047610119</v>
      </c>
      <c r="E154" s="14"/>
      <c r="F154" s="14">
        <f>C154-D154</f>
        <v>-20502012.673543163</v>
      </c>
      <c r="G154" s="14"/>
      <c r="H154" s="14">
        <f t="shared" ref="H154:H164" si="49">SUM(D154,F154)</f>
        <v>4669502.3740669563</v>
      </c>
      <c r="I154" s="53">
        <f>IF(D154&lt;&gt;0,C154/D154,0)</f>
        <v>0.18550740252364339</v>
      </c>
      <c r="K154" s="84" t="s">
        <v>120</v>
      </c>
    </row>
    <row r="155" spans="1:18" ht="15" x14ac:dyDescent="0.25">
      <c r="A155" s="83">
        <f t="shared" ref="A155" si="50">MAX(A152:A154)+NoOne</f>
        <v>2</v>
      </c>
      <c r="B155" s="92" t="s">
        <v>100</v>
      </c>
      <c r="C155" s="52">
        <v>945103.9988196888</v>
      </c>
      <c r="D155" s="14">
        <v>894392.75602439465</v>
      </c>
      <c r="E155" s="14"/>
      <c r="F155" s="14">
        <f t="shared" ref="F155:F163" si="51">C155-D155</f>
        <v>50711.242795294151</v>
      </c>
      <c r="G155" s="14"/>
      <c r="H155" s="14">
        <f t="shared" si="49"/>
        <v>945103.9988196888</v>
      </c>
      <c r="I155" s="53">
        <f t="shared" ref="I155:I164" si="52">IF(D155&lt;&gt;0,C155/D155,0)</f>
        <v>1.0566990759414323</v>
      </c>
      <c r="K155" s="84" t="s">
        <v>121</v>
      </c>
    </row>
    <row r="156" spans="1:18" ht="15" x14ac:dyDescent="0.25">
      <c r="A156" s="83">
        <f t="shared" ref="A156" si="53">MAX(A153:A155)+NoOne</f>
        <v>3</v>
      </c>
      <c r="B156" s="131" t="s">
        <v>102</v>
      </c>
      <c r="C156" s="52">
        <v>328741.89270779031</v>
      </c>
      <c r="D156" s="14">
        <v>1337649.2549823974</v>
      </c>
      <c r="E156" s="14"/>
      <c r="F156" s="14">
        <f t="shared" si="51"/>
        <v>-1008907.3622746072</v>
      </c>
      <c r="G156" s="14"/>
      <c r="H156" s="14">
        <f t="shared" si="49"/>
        <v>328741.89270779025</v>
      </c>
      <c r="I156" s="53">
        <f t="shared" si="52"/>
        <v>0.24576090592007718</v>
      </c>
      <c r="K156" s="84" t="s">
        <v>122</v>
      </c>
    </row>
    <row r="157" spans="1:18" ht="15" x14ac:dyDescent="0.25">
      <c r="A157" s="83">
        <f t="shared" ref="A157" si="54">MAX(A154:A156)+NoOne</f>
        <v>4</v>
      </c>
      <c r="B157" s="84" t="s">
        <v>104</v>
      </c>
      <c r="C157" s="52">
        <v>1505529.9763934463</v>
      </c>
      <c r="D157" s="14">
        <v>3692362.2730602482</v>
      </c>
      <c r="E157" s="14"/>
      <c r="F157" s="14">
        <f t="shared" si="51"/>
        <v>-2186832.2966668019</v>
      </c>
      <c r="G157" s="14"/>
      <c r="H157" s="14">
        <f t="shared" si="49"/>
        <v>1505529.9763934463</v>
      </c>
      <c r="I157" s="53">
        <f t="shared" si="52"/>
        <v>0.40774167458537475</v>
      </c>
      <c r="K157" s="84" t="s">
        <v>123</v>
      </c>
    </row>
    <row r="158" spans="1:18" ht="15" x14ac:dyDescent="0.25">
      <c r="A158" s="83">
        <f t="shared" ref="A158" si="55">MAX(A155:A157)+NoOne</f>
        <v>5</v>
      </c>
      <c r="B158" s="92" t="s">
        <v>106</v>
      </c>
      <c r="C158" s="52">
        <v>3760678.8175117802</v>
      </c>
      <c r="D158" s="14">
        <v>9555598.3239415344</v>
      </c>
      <c r="E158" s="14"/>
      <c r="F158" s="14">
        <f t="shared" si="51"/>
        <v>-5794919.5064297542</v>
      </c>
      <c r="G158" s="14"/>
      <c r="H158" s="14">
        <f t="shared" si="49"/>
        <v>3760678.8175117802</v>
      </c>
      <c r="I158" s="53">
        <f t="shared" si="52"/>
        <v>0.39355764966484685</v>
      </c>
      <c r="K158" s="84" t="s">
        <v>124</v>
      </c>
    </row>
    <row r="159" spans="1:18" ht="15" x14ac:dyDescent="0.25">
      <c r="A159" s="83">
        <f t="shared" ref="A159" si="56">MAX(A156:A158)+NoOne</f>
        <v>6</v>
      </c>
      <c r="B159" s="92" t="s">
        <v>108</v>
      </c>
      <c r="C159" s="52">
        <v>364087.48779334419</v>
      </c>
      <c r="D159" s="14">
        <v>1830406.5511158232</v>
      </c>
      <c r="E159" s="14"/>
      <c r="F159" s="14">
        <f t="shared" si="51"/>
        <v>-1466319.0633224789</v>
      </c>
      <c r="G159" s="14"/>
      <c r="H159" s="14">
        <f t="shared" si="49"/>
        <v>364087.48779334431</v>
      </c>
      <c r="I159" s="53">
        <f t="shared" si="52"/>
        <v>0.19891072153964648</v>
      </c>
      <c r="K159" s="84" t="s">
        <v>125</v>
      </c>
    </row>
    <row r="160" spans="1:18" ht="15" x14ac:dyDescent="0.25">
      <c r="A160" s="83">
        <f t="shared" ref="A160" si="57">MAX(A157:A159)+NoOne</f>
        <v>7</v>
      </c>
      <c r="B160" s="84" t="s">
        <v>91</v>
      </c>
      <c r="C160" s="52">
        <v>245159.76993788074</v>
      </c>
      <c r="D160" s="14">
        <v>1373674.8775542325</v>
      </c>
      <c r="E160" s="14"/>
      <c r="F160" s="14">
        <f t="shared" si="51"/>
        <v>-1128515.1076163517</v>
      </c>
      <c r="G160" s="14"/>
      <c r="H160" s="14">
        <f t="shared" si="49"/>
        <v>245159.7699378808</v>
      </c>
      <c r="I160" s="53">
        <f t="shared" si="52"/>
        <v>0.17847001058531178</v>
      </c>
      <c r="K160" s="84" t="s">
        <v>126</v>
      </c>
      <c r="R160" s="83"/>
    </row>
    <row r="161" spans="1:11" ht="15" hidden="1" x14ac:dyDescent="0.25">
      <c r="A161" s="83">
        <f t="shared" ref="A161" si="58">MAX(A158:A160)+NoOne</f>
        <v>8</v>
      </c>
      <c r="B161" s="92" t="s">
        <v>111</v>
      </c>
      <c r="C161" s="52">
        <v>0</v>
      </c>
      <c r="D161" s="14">
        <v>0</v>
      </c>
      <c r="E161" s="14"/>
      <c r="F161" s="14">
        <f t="shared" si="51"/>
        <v>0</v>
      </c>
      <c r="G161" s="14"/>
      <c r="H161" s="14">
        <f t="shared" si="49"/>
        <v>0</v>
      </c>
      <c r="I161" s="53">
        <f t="shared" si="52"/>
        <v>0</v>
      </c>
      <c r="K161" s="84" t="s">
        <v>127</v>
      </c>
    </row>
    <row r="162" spans="1:11" ht="15" hidden="1" x14ac:dyDescent="0.25">
      <c r="A162" s="83">
        <f t="shared" ref="A162" si="59">MAX(A159:A161)+NoOne</f>
        <v>9</v>
      </c>
      <c r="B162" s="92" t="s">
        <v>113</v>
      </c>
      <c r="C162" s="52">
        <v>0</v>
      </c>
      <c r="D162" s="14">
        <v>0</v>
      </c>
      <c r="E162" s="14"/>
      <c r="F162" s="14">
        <f t="shared" si="51"/>
        <v>0</v>
      </c>
      <c r="G162" s="14"/>
      <c r="H162" s="14">
        <f t="shared" si="49"/>
        <v>0</v>
      </c>
      <c r="I162" s="53">
        <f t="shared" si="52"/>
        <v>0</v>
      </c>
      <c r="K162" s="84" t="s">
        <v>128</v>
      </c>
    </row>
    <row r="163" spans="1:11" ht="15" x14ac:dyDescent="0.25">
      <c r="A163" s="83">
        <v>8</v>
      </c>
      <c r="B163" s="92" t="s">
        <v>93</v>
      </c>
      <c r="C163" s="52">
        <v>144154.86624000021</v>
      </c>
      <c r="D163" s="14">
        <v>309889.10472647514</v>
      </c>
      <c r="E163" s="14"/>
      <c r="F163" s="14">
        <f t="shared" si="51"/>
        <v>-165734.23848647493</v>
      </c>
      <c r="G163" s="14"/>
      <c r="H163" s="14">
        <f t="shared" si="49"/>
        <v>144154.86624000021</v>
      </c>
      <c r="I163" s="53">
        <f t="shared" si="52"/>
        <v>0.46518210560270934</v>
      </c>
      <c r="K163" s="84" t="s">
        <v>129</v>
      </c>
    </row>
    <row r="164" spans="1:11" ht="15" x14ac:dyDescent="0.25">
      <c r="A164" s="83">
        <v>9</v>
      </c>
      <c r="B164" s="131" t="s">
        <v>116</v>
      </c>
      <c r="C164" s="52">
        <v>6384</v>
      </c>
      <c r="D164" s="14">
        <v>0</v>
      </c>
      <c r="E164" s="14"/>
      <c r="F164" s="14">
        <f>C164-D164</f>
        <v>6384</v>
      </c>
      <c r="G164" s="14"/>
      <c r="H164" s="14">
        <f t="shared" si="49"/>
        <v>6384</v>
      </c>
      <c r="I164" s="53">
        <f t="shared" si="52"/>
        <v>0</v>
      </c>
      <c r="K164" s="84" t="s">
        <v>130</v>
      </c>
    </row>
    <row r="165" spans="1:11" x14ac:dyDescent="0.2">
      <c r="B165" s="92"/>
      <c r="C165" s="113"/>
      <c r="D165" s="113"/>
      <c r="E165" s="113"/>
      <c r="F165" s="120"/>
      <c r="H165" s="113"/>
      <c r="I165" s="127"/>
    </row>
    <row r="166" spans="1:11" ht="17.25" thickBot="1" x14ac:dyDescent="0.35">
      <c r="A166" s="83">
        <v>10</v>
      </c>
      <c r="B166" s="132" t="s">
        <v>118</v>
      </c>
      <c r="C166" s="60">
        <f>SUM(C154:C164)</f>
        <v>11969343.183470888</v>
      </c>
      <c r="D166" s="60">
        <f>SUM(D154:D164)</f>
        <v>44165488.189015225</v>
      </c>
      <c r="E166" s="60"/>
      <c r="F166" s="60">
        <f t="shared" ref="F166" si="60">C166-D166</f>
        <v>-32196145.005544335</v>
      </c>
      <c r="G166" s="60"/>
      <c r="H166" s="60">
        <f>SUM(H154:H164)</f>
        <v>11969343.183470888</v>
      </c>
      <c r="I166" s="61">
        <f>IF(D166&lt;&gt;0,C166/D166,0)</f>
        <v>0.27101122786746157</v>
      </c>
    </row>
    <row r="167" spans="1:11" ht="13.5" thickTop="1" x14ac:dyDescent="0.2"/>
    <row r="173" spans="1:11" x14ac:dyDescent="0.2">
      <c r="I173" s="85" t="s">
        <v>0</v>
      </c>
    </row>
    <row r="174" spans="1:11" x14ac:dyDescent="0.2">
      <c r="I174" s="85" t="s">
        <v>131</v>
      </c>
    </row>
    <row r="175" spans="1:11" x14ac:dyDescent="0.2">
      <c r="I175" s="87"/>
    </row>
    <row r="177" spans="1:18" x14ac:dyDescent="0.2">
      <c r="A177" s="88" t="str">
        <f>+A6</f>
        <v>NEWFOUNDLAND AND LABRADOR HYDRO</v>
      </c>
      <c r="B177" s="88"/>
      <c r="C177" s="88"/>
      <c r="D177" s="88"/>
      <c r="E177" s="88"/>
      <c r="F177" s="88"/>
      <c r="G177" s="88"/>
      <c r="H177" s="88"/>
      <c r="I177" s="88"/>
    </row>
    <row r="178" spans="1:18" x14ac:dyDescent="0.2">
      <c r="A178" s="88" t="str">
        <f>RunName</f>
        <v>2027 Test Year Cost of Service Study (No Rate Mitigation)</v>
      </c>
      <c r="B178" s="88"/>
      <c r="C178" s="88"/>
      <c r="D178" s="88"/>
      <c r="E178" s="88"/>
      <c r="F178" s="88"/>
      <c r="G178" s="88"/>
      <c r="H178" s="88"/>
      <c r="I178" s="88"/>
    </row>
    <row r="179" spans="1:18" x14ac:dyDescent="0.2">
      <c r="A179" s="88" t="s">
        <v>66</v>
      </c>
      <c r="B179" s="88"/>
      <c r="C179" s="88"/>
      <c r="D179" s="88"/>
      <c r="E179" s="88"/>
      <c r="F179" s="88"/>
      <c r="G179" s="88"/>
      <c r="H179" s="88"/>
      <c r="I179" s="88"/>
    </row>
    <row r="180" spans="1:18" x14ac:dyDescent="0.2">
      <c r="A180" s="88" t="s">
        <v>9</v>
      </c>
      <c r="B180" s="88"/>
      <c r="C180" s="88"/>
      <c r="D180" s="88"/>
      <c r="E180" s="88"/>
      <c r="F180" s="88"/>
      <c r="G180" s="88"/>
      <c r="H180" s="88"/>
      <c r="I180" s="88"/>
    </row>
    <row r="181" spans="1:18" s="83" customFormat="1" x14ac:dyDescent="0.2"/>
    <row r="182" spans="1:18" s="83" customFormat="1" x14ac:dyDescent="0.2">
      <c r="B182" s="83">
        <f t="shared" ref="B182:I182" si="61">MAX(A182)+NoOne</f>
        <v>1</v>
      </c>
      <c r="C182" s="83">
        <f t="shared" si="61"/>
        <v>2</v>
      </c>
      <c r="D182" s="83">
        <f t="shared" si="61"/>
        <v>3</v>
      </c>
      <c r="E182" s="83">
        <f t="shared" si="61"/>
        <v>4</v>
      </c>
      <c r="F182" s="83">
        <f t="shared" si="61"/>
        <v>5</v>
      </c>
      <c r="G182" s="83">
        <f t="shared" si="61"/>
        <v>6</v>
      </c>
      <c r="H182" s="83">
        <v>6</v>
      </c>
      <c r="I182" s="83">
        <f t="shared" si="61"/>
        <v>7</v>
      </c>
    </row>
    <row r="183" spans="1:18" s="83" customFormat="1" x14ac:dyDescent="0.2"/>
    <row r="184" spans="1:18" x14ac:dyDescent="0.2">
      <c r="B184" s="83"/>
      <c r="C184" s="83"/>
      <c r="D184" s="90" t="s">
        <v>12</v>
      </c>
      <c r="E184" s="83"/>
      <c r="F184" s="83"/>
      <c r="H184" s="90" t="s">
        <v>13</v>
      </c>
      <c r="I184" s="83" t="s">
        <v>14</v>
      </c>
    </row>
    <row r="185" spans="1:18" x14ac:dyDescent="0.2">
      <c r="A185" s="83" t="s">
        <v>17</v>
      </c>
      <c r="B185" s="83"/>
      <c r="C185" s="83"/>
      <c r="D185" s="83" t="s">
        <v>18</v>
      </c>
      <c r="E185" s="83" t="s">
        <v>14</v>
      </c>
      <c r="F185" s="83"/>
      <c r="G185" s="90" t="s">
        <v>19</v>
      </c>
      <c r="H185" s="90" t="s">
        <v>20</v>
      </c>
      <c r="I185" s="83" t="s">
        <v>21</v>
      </c>
    </row>
    <row r="186" spans="1:18" ht="13.5" customHeight="1" x14ac:dyDescent="0.2">
      <c r="A186" s="83" t="s">
        <v>25</v>
      </c>
      <c r="B186" s="83" t="s">
        <v>26</v>
      </c>
      <c r="C186" s="83" t="s">
        <v>27</v>
      </c>
      <c r="D186" s="83" t="s">
        <v>28</v>
      </c>
      <c r="E186" s="83" t="s">
        <v>71</v>
      </c>
      <c r="F186" s="83" t="s">
        <v>30</v>
      </c>
      <c r="G186" s="83" t="s">
        <v>31</v>
      </c>
      <c r="H186" s="83" t="s">
        <v>28</v>
      </c>
      <c r="I186" s="83" t="s">
        <v>32</v>
      </c>
    </row>
    <row r="187" spans="1:18" ht="13.5" customHeight="1" x14ac:dyDescent="0.2">
      <c r="B187" s="83"/>
      <c r="C187" s="83"/>
      <c r="D187" s="83"/>
      <c r="E187" s="83"/>
      <c r="F187" s="83"/>
      <c r="H187" s="11" t="s">
        <v>38</v>
      </c>
      <c r="I187" s="94" t="s">
        <v>39</v>
      </c>
    </row>
    <row r="188" spans="1:18" ht="13.5" customHeight="1" x14ac:dyDescent="0.2">
      <c r="C188" s="83" t="s">
        <v>40</v>
      </c>
      <c r="D188" s="83" t="s">
        <v>40</v>
      </c>
      <c r="E188" s="83" t="s">
        <v>40</v>
      </c>
      <c r="F188" s="83" t="s">
        <v>40</v>
      </c>
      <c r="G188" s="83" t="s">
        <v>40</v>
      </c>
      <c r="H188" s="83" t="s">
        <v>40</v>
      </c>
      <c r="R188" s="83"/>
    </row>
    <row r="190" spans="1:18" x14ac:dyDescent="0.2">
      <c r="B190" s="100" t="s">
        <v>66</v>
      </c>
    </row>
    <row r="191" spans="1:18" ht="15" x14ac:dyDescent="0.25">
      <c r="A191" s="83">
        <f t="shared" ref="A191" si="62">MAX(A188:A190)+NoOne</f>
        <v>1</v>
      </c>
      <c r="B191" s="84" t="s">
        <v>79</v>
      </c>
      <c r="C191" s="52">
        <v>828511.29480396374</v>
      </c>
      <c r="D191" s="14">
        <v>2224303.689135131</v>
      </c>
      <c r="E191" s="14"/>
      <c r="F191" s="14">
        <f>C191-D191</f>
        <v>-1395792.3943311672</v>
      </c>
      <c r="G191" s="14"/>
      <c r="H191" s="14">
        <f t="shared" ref="H191:H196" si="63">SUM(D191,F191)</f>
        <v>828511.29480396374</v>
      </c>
      <c r="I191" s="53">
        <f t="shared" ref="I191:I196" si="64">IF(D191&lt;&gt;0,C191/D191,0)</f>
        <v>0.37248119438497679</v>
      </c>
      <c r="K191" s="84" t="s">
        <v>132</v>
      </c>
    </row>
    <row r="192" spans="1:18" ht="15" x14ac:dyDescent="0.25">
      <c r="A192" s="83">
        <f t="shared" ref="A192" si="65">MAX(A189:A191)+NoOne</f>
        <v>2</v>
      </c>
      <c r="B192" s="84" t="s">
        <v>81</v>
      </c>
      <c r="C192" s="52">
        <v>1782546.8304509185</v>
      </c>
      <c r="D192" s="14">
        <v>4421636.5928514004</v>
      </c>
      <c r="E192" s="14"/>
      <c r="F192" s="14">
        <f t="shared" ref="F192:F198" si="66">C192-D192</f>
        <v>-2639089.7624004818</v>
      </c>
      <c r="G192" s="14"/>
      <c r="H192" s="14">
        <f t="shared" si="63"/>
        <v>1782546.8304509185</v>
      </c>
      <c r="I192" s="53">
        <f t="shared" si="64"/>
        <v>0.40314186682207631</v>
      </c>
      <c r="K192" s="84" t="s">
        <v>133</v>
      </c>
    </row>
    <row r="193" spans="1:11" ht="15" x14ac:dyDescent="0.25">
      <c r="A193" s="83">
        <f t="shared" ref="A193" si="67">MAX(A190:A192)+NoOne</f>
        <v>3</v>
      </c>
      <c r="B193" s="92" t="s">
        <v>85</v>
      </c>
      <c r="C193" s="52">
        <v>1046117.9889364933</v>
      </c>
      <c r="D193" s="14">
        <v>2332949.6198429321</v>
      </c>
      <c r="E193" s="14"/>
      <c r="F193" s="14">
        <f t="shared" si="66"/>
        <v>-1286831.6309064389</v>
      </c>
      <c r="G193" s="14"/>
      <c r="H193" s="14">
        <f t="shared" si="63"/>
        <v>1046117.9889364932</v>
      </c>
      <c r="I193" s="53">
        <f t="shared" si="64"/>
        <v>0.44841002139039937</v>
      </c>
      <c r="K193" s="84" t="s">
        <v>134</v>
      </c>
    </row>
    <row r="194" spans="1:11" ht="15" x14ac:dyDescent="0.25">
      <c r="A194" s="83">
        <f t="shared" ref="A194" si="68">MAX(A191:A193)+NoOne</f>
        <v>4</v>
      </c>
      <c r="B194" s="84" t="s">
        <v>87</v>
      </c>
      <c r="C194" s="52">
        <v>0</v>
      </c>
      <c r="D194" s="14">
        <v>0</v>
      </c>
      <c r="E194" s="14"/>
      <c r="F194" s="14">
        <f t="shared" si="66"/>
        <v>0</v>
      </c>
      <c r="G194" s="14"/>
      <c r="H194" s="14">
        <f t="shared" si="63"/>
        <v>0</v>
      </c>
      <c r="I194" s="53">
        <f t="shared" si="64"/>
        <v>0</v>
      </c>
      <c r="K194" s="84" t="s">
        <v>135</v>
      </c>
    </row>
    <row r="195" spans="1:11" ht="15" x14ac:dyDescent="0.25">
      <c r="A195" s="83">
        <f t="shared" ref="A195" si="69">MAX(A192:A194)+NoOne</f>
        <v>5</v>
      </c>
      <c r="B195" s="84" t="s">
        <v>89</v>
      </c>
      <c r="C195" s="52">
        <v>354037.29560906265</v>
      </c>
      <c r="D195" s="14">
        <v>690869.19849230337</v>
      </c>
      <c r="E195" s="14"/>
      <c r="F195" s="14">
        <f t="shared" si="66"/>
        <v>-336831.90288324072</v>
      </c>
      <c r="G195" s="14"/>
      <c r="H195" s="14">
        <f t="shared" si="63"/>
        <v>354037.29560906265</v>
      </c>
      <c r="I195" s="53">
        <f t="shared" si="64"/>
        <v>0.51245199001733588</v>
      </c>
      <c r="K195" s="84" t="s">
        <v>136</v>
      </c>
    </row>
    <row r="196" spans="1:11" ht="15" x14ac:dyDescent="0.25">
      <c r="A196" s="83">
        <f t="shared" ref="A196" si="70">MAX(A193:A195)+NoOne</f>
        <v>6</v>
      </c>
      <c r="B196" s="84" t="s">
        <v>93</v>
      </c>
      <c r="C196" s="52">
        <v>65923.096800000043</v>
      </c>
      <c r="D196" s="14">
        <v>88736.764789395194</v>
      </c>
      <c r="E196" s="62"/>
      <c r="F196" s="62">
        <f t="shared" si="66"/>
        <v>-22813.667989395151</v>
      </c>
      <c r="G196" s="14"/>
      <c r="H196" s="62">
        <f t="shared" si="63"/>
        <v>65923.096800000043</v>
      </c>
      <c r="I196" s="53">
        <f t="shared" si="64"/>
        <v>0.74290624586618259</v>
      </c>
      <c r="K196" s="84" t="s">
        <v>137</v>
      </c>
    </row>
    <row r="197" spans="1:11" x14ac:dyDescent="0.2">
      <c r="C197" s="113"/>
      <c r="D197" s="113"/>
      <c r="E197" s="113"/>
      <c r="F197" s="120"/>
      <c r="H197" s="113"/>
      <c r="I197" s="127"/>
    </row>
    <row r="198" spans="1:11" ht="13.5" thickBot="1" x14ac:dyDescent="0.25">
      <c r="A198" s="83">
        <v>7</v>
      </c>
      <c r="B198" s="100" t="s">
        <v>138</v>
      </c>
      <c r="C198" s="60">
        <f>SUM(C191:C196)</f>
        <v>4077136.5066004382</v>
      </c>
      <c r="D198" s="60">
        <f>SUM(D191:D196)</f>
        <v>9758495.865111161</v>
      </c>
      <c r="E198" s="60"/>
      <c r="F198" s="60">
        <f t="shared" si="66"/>
        <v>-5681359.3585107233</v>
      </c>
      <c r="G198" s="60"/>
      <c r="H198" s="133">
        <f>SUM(H191:H196)</f>
        <v>4077136.5066004382</v>
      </c>
      <c r="I198" s="61">
        <f>IF(D198&lt;&gt;0,C198/D198,0)</f>
        <v>0.41780378482068403</v>
      </c>
    </row>
    <row r="199" spans="1:11" ht="13.5" thickTop="1" x14ac:dyDescent="0.2"/>
    <row r="205" spans="1:11" x14ac:dyDescent="0.2">
      <c r="I205" s="85" t="s">
        <v>0</v>
      </c>
    </row>
    <row r="206" spans="1:11" x14ac:dyDescent="0.2">
      <c r="I206" s="85" t="s">
        <v>139</v>
      </c>
    </row>
    <row r="207" spans="1:11" x14ac:dyDescent="0.2">
      <c r="I207" s="87"/>
    </row>
    <row r="208" spans="1:11" x14ac:dyDescent="0.2">
      <c r="A208" s="88" t="str">
        <f>+A6</f>
        <v>NEWFOUNDLAND AND LABRADOR HYDRO</v>
      </c>
      <c r="B208" s="88"/>
      <c r="C208" s="88"/>
      <c r="D208" s="88"/>
      <c r="E208" s="88"/>
      <c r="F208" s="88"/>
      <c r="G208" s="88"/>
      <c r="H208" s="88"/>
      <c r="I208" s="88"/>
    </row>
    <row r="209" spans="1:18" x14ac:dyDescent="0.2">
      <c r="A209" s="88" t="str">
        <f>RunName</f>
        <v>2027 Test Year Cost of Service Study (No Rate Mitigation)</v>
      </c>
      <c r="B209" s="88"/>
      <c r="C209" s="88"/>
      <c r="D209" s="88"/>
      <c r="E209" s="88"/>
      <c r="F209" s="88"/>
      <c r="G209" s="88"/>
      <c r="H209" s="88"/>
      <c r="I209" s="88"/>
    </row>
    <row r="210" spans="1:18" x14ac:dyDescent="0.2">
      <c r="A210" s="88" t="s">
        <v>140</v>
      </c>
      <c r="B210" s="88"/>
      <c r="C210" s="88"/>
      <c r="D210" s="88"/>
      <c r="E210" s="88"/>
      <c r="F210" s="88"/>
      <c r="G210" s="88"/>
      <c r="H210" s="88"/>
      <c r="I210" s="88"/>
    </row>
    <row r="211" spans="1:18" x14ac:dyDescent="0.2">
      <c r="A211" s="88" t="s">
        <v>9</v>
      </c>
      <c r="B211" s="88"/>
      <c r="C211" s="88"/>
      <c r="D211" s="88"/>
      <c r="E211" s="88"/>
      <c r="F211" s="88"/>
      <c r="G211" s="88"/>
      <c r="H211" s="88"/>
      <c r="I211" s="88"/>
    </row>
    <row r="212" spans="1:18" x14ac:dyDescent="0.2">
      <c r="B212" s="83">
        <f t="shared" ref="B212:I212" si="71">MAX(A212)+NoOne</f>
        <v>1</v>
      </c>
      <c r="C212" s="83">
        <f t="shared" si="71"/>
        <v>2</v>
      </c>
      <c r="D212" s="83">
        <f t="shared" si="71"/>
        <v>3</v>
      </c>
      <c r="E212" s="83">
        <f t="shared" si="71"/>
        <v>4</v>
      </c>
      <c r="F212" s="83">
        <f t="shared" si="71"/>
        <v>5</v>
      </c>
      <c r="G212" s="83">
        <f t="shared" si="71"/>
        <v>6</v>
      </c>
      <c r="H212" s="83">
        <v>6</v>
      </c>
      <c r="I212" s="83">
        <f t="shared" si="71"/>
        <v>7</v>
      </c>
    </row>
    <row r="213" spans="1:18" x14ac:dyDescent="0.2">
      <c r="G213" s="83"/>
      <c r="H213" s="83"/>
      <c r="I213" s="83"/>
    </row>
    <row r="214" spans="1:18" x14ac:dyDescent="0.2">
      <c r="B214" s="83"/>
      <c r="C214" s="83"/>
      <c r="D214" s="90" t="s">
        <v>12</v>
      </c>
      <c r="E214" s="83"/>
      <c r="F214" s="83"/>
      <c r="H214" s="90" t="s">
        <v>13</v>
      </c>
      <c r="I214" s="83" t="s">
        <v>14</v>
      </c>
    </row>
    <row r="215" spans="1:18" x14ac:dyDescent="0.2">
      <c r="A215" s="83" t="s">
        <v>17</v>
      </c>
      <c r="B215" s="83"/>
      <c r="C215" s="83"/>
      <c r="D215" s="83" t="s">
        <v>18</v>
      </c>
      <c r="E215" s="83" t="s">
        <v>14</v>
      </c>
      <c r="F215" s="83" t="s">
        <v>30</v>
      </c>
      <c r="G215" s="90" t="s">
        <v>19</v>
      </c>
      <c r="H215" s="90" t="s">
        <v>20</v>
      </c>
      <c r="I215" s="83" t="s">
        <v>21</v>
      </c>
    </row>
    <row r="216" spans="1:18" x14ac:dyDescent="0.2">
      <c r="A216" s="83" t="s">
        <v>25</v>
      </c>
      <c r="B216" s="83" t="s">
        <v>26</v>
      </c>
      <c r="C216" s="83" t="s">
        <v>27</v>
      </c>
      <c r="D216" s="83" t="s">
        <v>28</v>
      </c>
      <c r="E216" s="83" t="s">
        <v>71</v>
      </c>
      <c r="F216" s="83" t="s">
        <v>72</v>
      </c>
      <c r="G216" s="83" t="s">
        <v>31</v>
      </c>
      <c r="H216" s="83" t="s">
        <v>28</v>
      </c>
      <c r="I216" s="83" t="s">
        <v>32</v>
      </c>
      <c r="R216" s="83"/>
    </row>
    <row r="217" spans="1:18" ht="15" x14ac:dyDescent="0.25">
      <c r="B217" s="83"/>
      <c r="C217" s="64"/>
      <c r="D217" s="64"/>
      <c r="E217" s="64"/>
      <c r="F217" s="64"/>
      <c r="H217" s="11" t="s">
        <v>38</v>
      </c>
      <c r="I217" s="94" t="s">
        <v>39</v>
      </c>
    </row>
    <row r="218" spans="1:18" ht="15" x14ac:dyDescent="0.25">
      <c r="B218" s="83"/>
      <c r="C218" s="64" t="s">
        <v>40</v>
      </c>
      <c r="D218" s="64" t="s">
        <v>40</v>
      </c>
      <c r="E218" s="64" t="s">
        <v>40</v>
      </c>
      <c r="F218" s="64" t="s">
        <v>40</v>
      </c>
      <c r="G218" s="83" t="s">
        <v>40</v>
      </c>
      <c r="H218" s="83" t="s">
        <v>40</v>
      </c>
      <c r="I218" s="83"/>
    </row>
    <row r="219" spans="1:18" ht="15" x14ac:dyDescent="0.25">
      <c r="B219" s="100" t="s">
        <v>140</v>
      </c>
      <c r="C219" s="53"/>
      <c r="D219" s="53"/>
      <c r="E219" s="53"/>
      <c r="F219" s="53"/>
      <c r="H219" s="53"/>
    </row>
    <row r="220" spans="1:18" ht="15" x14ac:dyDescent="0.25">
      <c r="A220" s="83">
        <v>1</v>
      </c>
      <c r="B220" s="92" t="s">
        <v>141</v>
      </c>
      <c r="C220" s="65">
        <v>9171997.7694181111</v>
      </c>
      <c r="D220" s="14">
        <v>9172199.8960632775</v>
      </c>
      <c r="E220" s="14"/>
      <c r="F220" s="20">
        <f>$F$27*(D220/SUM($D$220:$D$221))</f>
        <v>0</v>
      </c>
      <c r="G220" s="14"/>
      <c r="H220" s="14">
        <f>SUM(D220:F220)</f>
        <v>9172199.8960632775</v>
      </c>
      <c r="I220" s="53">
        <f t="shared" ref="I220:I221" si="72">IF(H220&lt;&gt;0,C220/H220,0)</f>
        <v>0.99997796312253806</v>
      </c>
      <c r="J220" s="98"/>
      <c r="K220" s="98"/>
      <c r="L220" s="98"/>
    </row>
    <row r="221" spans="1:18" ht="15" x14ac:dyDescent="0.25">
      <c r="A221" s="83">
        <v>2</v>
      </c>
      <c r="B221" s="92" t="s">
        <v>142</v>
      </c>
      <c r="C221" s="20">
        <f>+D221</f>
        <v>0</v>
      </c>
      <c r="D221" s="14">
        <v>0</v>
      </c>
      <c r="E221" s="14"/>
      <c r="F221" s="20">
        <f>$F$27*(D221/SUM($D$220:$D$221))</f>
        <v>0</v>
      </c>
      <c r="G221" s="14"/>
      <c r="H221" s="14">
        <f>SUM(D221:F221)</f>
        <v>0</v>
      </c>
      <c r="I221" s="53">
        <f t="shared" si="72"/>
        <v>0</v>
      </c>
    </row>
    <row r="222" spans="1:18" ht="15" x14ac:dyDescent="0.25">
      <c r="B222" s="92"/>
      <c r="C222" s="20"/>
      <c r="D222" s="14"/>
      <c r="E222" s="14"/>
      <c r="F222" s="20"/>
      <c r="H222" s="14"/>
      <c r="I222" s="127"/>
    </row>
    <row r="223" spans="1:18" x14ac:dyDescent="0.2">
      <c r="A223" s="83">
        <v>3</v>
      </c>
      <c r="B223" s="100" t="s">
        <v>77</v>
      </c>
      <c r="C223" s="31">
        <f>+C220+C221+C222</f>
        <v>9171997.7694181111</v>
      </c>
      <c r="D223" s="31">
        <f>+D220+D221+D222</f>
        <v>9172199.8960632775</v>
      </c>
      <c r="E223" s="31">
        <f>+E220+E221+E222</f>
        <v>0</v>
      </c>
      <c r="F223" s="31">
        <f>+F220+F221</f>
        <v>0</v>
      </c>
      <c r="G223" s="31"/>
      <c r="H223" s="31">
        <f>+H220+H221+H222</f>
        <v>9172199.8960632775</v>
      </c>
      <c r="I223" s="32"/>
    </row>
    <row r="224" spans="1:18" ht="15" x14ac:dyDescent="0.25">
      <c r="C224" s="20"/>
      <c r="D224" s="14"/>
      <c r="E224" s="14"/>
      <c r="F224" s="20"/>
      <c r="H224" s="14"/>
      <c r="I224" s="127"/>
    </row>
    <row r="225" spans="1:14" ht="15" x14ac:dyDescent="0.25">
      <c r="A225" s="83">
        <v>4</v>
      </c>
      <c r="B225" s="92" t="s">
        <v>54</v>
      </c>
      <c r="C225" s="66">
        <v>0</v>
      </c>
      <c r="D225" s="28">
        <v>0</v>
      </c>
      <c r="E225" s="28">
        <f>+E246</f>
        <v>0</v>
      </c>
      <c r="F225" s="28">
        <v>0</v>
      </c>
      <c r="H225" s="28">
        <f>SUM(D225:F225)</f>
        <v>0</v>
      </c>
      <c r="I225" s="53">
        <f>IF(H225&lt;&gt;0,C225/H225,0)</f>
        <v>0</v>
      </c>
    </row>
    <row r="226" spans="1:14" ht="15" x14ac:dyDescent="0.25">
      <c r="C226" s="67"/>
      <c r="D226" s="14"/>
      <c r="E226" s="14"/>
      <c r="F226" s="20"/>
      <c r="H226" s="14"/>
      <c r="I226" s="127"/>
    </row>
    <row r="227" spans="1:14" ht="15" x14ac:dyDescent="0.25">
      <c r="B227" s="100" t="s">
        <v>78</v>
      </c>
      <c r="C227" s="14"/>
      <c r="D227" s="14"/>
      <c r="E227" s="14"/>
      <c r="F227" s="20"/>
      <c r="H227" s="14"/>
    </row>
    <row r="228" spans="1:14" ht="15" x14ac:dyDescent="0.25">
      <c r="A228" s="83">
        <f t="shared" ref="A228" si="73">MAX(A225:A227)+NoOne</f>
        <v>5</v>
      </c>
      <c r="B228" s="84" t="s">
        <v>143</v>
      </c>
      <c r="C228" s="52">
        <v>104600.66929263835</v>
      </c>
      <c r="D228" s="14">
        <v>206447.62225798349</v>
      </c>
      <c r="E228" s="14">
        <f t="shared" ref="E228:E234" si="74">-$E$249*(D228/$D$236)</f>
        <v>0</v>
      </c>
      <c r="F228" s="33">
        <f t="shared" ref="F228:F234" si="75">(D228/$D$236)*$F$29</f>
        <v>19464.13877616106</v>
      </c>
      <c r="H228" s="14">
        <f t="shared" ref="H228:H234" si="76">SUM(D228:F228)</f>
        <v>225911.76103414455</v>
      </c>
      <c r="I228" s="53">
        <f>IF(H228&lt;&gt;0,C228/H228,0)</f>
        <v>0.46301559871789449</v>
      </c>
      <c r="K228" s="101" t="s">
        <v>144</v>
      </c>
      <c r="L228" s="101"/>
      <c r="M228" s="101"/>
    </row>
    <row r="229" spans="1:14" ht="15" x14ac:dyDescent="0.25">
      <c r="A229" s="83">
        <f t="shared" ref="A229" si="77">MAX(A226:A228)+NoOne</f>
        <v>6</v>
      </c>
      <c r="B229" s="84" t="s">
        <v>145</v>
      </c>
      <c r="C229" s="52">
        <v>11621731.657853549</v>
      </c>
      <c r="D229" s="14">
        <v>12172687.442218101</v>
      </c>
      <c r="E229" s="14">
        <f t="shared" si="74"/>
        <v>0</v>
      </c>
      <c r="F229" s="20">
        <f t="shared" si="75"/>
        <v>1147656.1224720227</v>
      </c>
      <c r="H229" s="14">
        <f t="shared" si="76"/>
        <v>13320343.564690124</v>
      </c>
      <c r="I229" s="53">
        <f t="shared" ref="I229:I234" si="78">IF(H229&lt;&gt;0,C229/H229,0)</f>
        <v>0.87247987271594896</v>
      </c>
      <c r="K229" s="101" t="s">
        <v>146</v>
      </c>
      <c r="L229" s="101"/>
      <c r="M229" s="101"/>
    </row>
    <row r="230" spans="1:14" ht="15" x14ac:dyDescent="0.25">
      <c r="A230" s="83">
        <f t="shared" ref="A230" si="79">MAX(A227:A229)+NoOne</f>
        <v>7</v>
      </c>
      <c r="B230" s="84" t="s">
        <v>104</v>
      </c>
      <c r="C230" s="52">
        <v>297862.23854982306</v>
      </c>
      <c r="D230" s="14">
        <v>302668.04169709131</v>
      </c>
      <c r="E230" s="14">
        <f t="shared" si="74"/>
        <v>0</v>
      </c>
      <c r="F230" s="20">
        <f t="shared" si="75"/>
        <v>28535.919679129514</v>
      </c>
      <c r="H230" s="14">
        <f t="shared" si="76"/>
        <v>331203.9613762208</v>
      </c>
      <c r="I230" s="53">
        <f t="shared" si="78"/>
        <v>0.89933175108215491</v>
      </c>
      <c r="K230" s="101" t="s">
        <v>147</v>
      </c>
      <c r="L230" s="101"/>
      <c r="M230" s="101"/>
      <c r="N230" s="101"/>
    </row>
    <row r="231" spans="1:14" ht="15" x14ac:dyDescent="0.25">
      <c r="A231" s="83">
        <f t="shared" ref="A231" si="80">MAX(A228:A230)+NoOne</f>
        <v>8</v>
      </c>
      <c r="B231" s="84" t="s">
        <v>87</v>
      </c>
      <c r="C231" s="52">
        <v>2454187.9387333281</v>
      </c>
      <c r="D231" s="14">
        <v>1963428.7597446749</v>
      </c>
      <c r="E231" s="14">
        <f t="shared" si="74"/>
        <v>0</v>
      </c>
      <c r="F231" s="20">
        <f t="shared" si="75"/>
        <v>185114.50719940799</v>
      </c>
      <c r="H231" s="14">
        <f t="shared" si="76"/>
        <v>2148543.2669440829</v>
      </c>
      <c r="I231" s="53">
        <f t="shared" si="78"/>
        <v>1.142256698522981</v>
      </c>
      <c r="K231" s="101" t="s">
        <v>148</v>
      </c>
      <c r="L231" s="101"/>
      <c r="M231" s="101"/>
    </row>
    <row r="232" spans="1:14" ht="15" x14ac:dyDescent="0.25">
      <c r="A232" s="83">
        <f t="shared" ref="A232" si="81">MAX(A229:A231)+NoOne</f>
        <v>9</v>
      </c>
      <c r="B232" s="84" t="s">
        <v>89</v>
      </c>
      <c r="C232" s="52">
        <v>4196071.8853856707</v>
      </c>
      <c r="D232" s="14">
        <v>2864081.8364553126</v>
      </c>
      <c r="E232" s="14">
        <f t="shared" si="74"/>
        <v>0</v>
      </c>
      <c r="F232" s="20">
        <f t="shared" si="75"/>
        <v>270029.20024617843</v>
      </c>
      <c r="H232" s="14">
        <f t="shared" si="76"/>
        <v>3134111.0367014911</v>
      </c>
      <c r="I232" s="53">
        <f t="shared" si="78"/>
        <v>1.3388395740445256</v>
      </c>
      <c r="K232" s="101" t="s">
        <v>149</v>
      </c>
      <c r="L232" s="101"/>
      <c r="M232" s="101"/>
    </row>
    <row r="233" spans="1:14" ht="15" x14ac:dyDescent="0.25">
      <c r="A233" s="83">
        <f t="shared" ref="A233" si="82">MAX(A230:A232)+NoOne</f>
        <v>10</v>
      </c>
      <c r="B233" s="84" t="s">
        <v>91</v>
      </c>
      <c r="C233" s="52">
        <v>2863985.6473577758</v>
      </c>
      <c r="D233" s="14">
        <v>2090121.3207885535</v>
      </c>
      <c r="E233" s="14">
        <f t="shared" si="74"/>
        <v>0</v>
      </c>
      <c r="F233" s="20">
        <f t="shared" si="75"/>
        <v>197059.23953923493</v>
      </c>
      <c r="H233" s="14">
        <f t="shared" si="76"/>
        <v>2287180.5603277883</v>
      </c>
      <c r="I233" s="53">
        <f t="shared" si="78"/>
        <v>1.2521904466288933</v>
      </c>
      <c r="K233" s="101" t="s">
        <v>150</v>
      </c>
      <c r="L233" s="101"/>
      <c r="M233" s="101"/>
    </row>
    <row r="234" spans="1:14" ht="15" x14ac:dyDescent="0.25">
      <c r="A234" s="83">
        <f t="shared" ref="A234" si="83">MAX(A231:A233)+NoOne</f>
        <v>11</v>
      </c>
      <c r="B234" s="84" t="s">
        <v>93</v>
      </c>
      <c r="C234" s="52">
        <v>392808</v>
      </c>
      <c r="D234" s="14">
        <v>439584.88334692374</v>
      </c>
      <c r="E234" s="14">
        <f t="shared" si="74"/>
        <v>0</v>
      </c>
      <c r="F234" s="20">
        <f t="shared" si="75"/>
        <v>41444.609919871444</v>
      </c>
      <c r="H234" s="14">
        <f t="shared" si="76"/>
        <v>481029.49326679518</v>
      </c>
      <c r="I234" s="53">
        <f t="shared" si="78"/>
        <v>0.8165985776305309</v>
      </c>
      <c r="K234" s="101" t="s">
        <v>151</v>
      </c>
      <c r="L234" s="101"/>
      <c r="M234" s="101"/>
    </row>
    <row r="235" spans="1:14" ht="15" x14ac:dyDescent="0.25">
      <c r="C235" s="62"/>
      <c r="D235" s="62"/>
      <c r="E235" s="62"/>
      <c r="F235" s="28"/>
      <c r="H235" s="62"/>
      <c r="I235" s="127"/>
      <c r="M235" s="127"/>
    </row>
    <row r="236" spans="1:14" x14ac:dyDescent="0.2">
      <c r="A236" s="83">
        <v>12</v>
      </c>
      <c r="B236" s="100" t="s">
        <v>95</v>
      </c>
      <c r="C236" s="31">
        <f>SUM(C228:C234)</f>
        <v>21931248.037172787</v>
      </c>
      <c r="D236" s="31">
        <f>SUM(D228:D234)</f>
        <v>20039019.906508639</v>
      </c>
      <c r="E236" s="31">
        <f>SUM(E228:E234)</f>
        <v>0</v>
      </c>
      <c r="F236" s="31">
        <f>SUM(F228:F234)</f>
        <v>1889303.7378320058</v>
      </c>
      <c r="G236" s="31"/>
      <c r="H236" s="31">
        <f>SUM(D236:F236)</f>
        <v>21928323.644340646</v>
      </c>
      <c r="I236" s="32"/>
      <c r="M236" s="127"/>
    </row>
    <row r="237" spans="1:14" ht="13.5" thickBot="1" x14ac:dyDescent="0.25">
      <c r="A237" s="83">
        <v>13</v>
      </c>
      <c r="B237" s="100" t="s">
        <v>152</v>
      </c>
      <c r="C237" s="34">
        <f>+C236+C225+C223</f>
        <v>31103245.8065909</v>
      </c>
      <c r="D237" s="34">
        <f>+D236+D225+D223</f>
        <v>29211219.802571915</v>
      </c>
      <c r="E237" s="34">
        <f>+E236+E225+E223</f>
        <v>0</v>
      </c>
      <c r="F237" s="34">
        <f>+F236+F225+F223</f>
        <v>1889303.7378320058</v>
      </c>
      <c r="G237" s="34"/>
      <c r="H237" s="34">
        <f>SUM(D237:F237)</f>
        <v>31100523.540403921</v>
      </c>
      <c r="I237" s="35"/>
    </row>
    <row r="238" spans="1:14" ht="13.5" thickTop="1" x14ac:dyDescent="0.2"/>
    <row r="239" spans="1:14" x14ac:dyDescent="0.2">
      <c r="B239" s="92" t="s">
        <v>153</v>
      </c>
    </row>
    <row r="240" spans="1:14" x14ac:dyDescent="0.2">
      <c r="B240" s="92" t="s">
        <v>154</v>
      </c>
      <c r="C240" s="98"/>
      <c r="D240" s="98"/>
      <c r="E240" s="98"/>
      <c r="F240" s="98"/>
      <c r="G240" s="98"/>
    </row>
    <row r="241" spans="1:18" x14ac:dyDescent="0.2">
      <c r="C241" s="98"/>
      <c r="D241" s="98"/>
      <c r="E241" s="98"/>
      <c r="F241" s="98"/>
      <c r="G241" s="98"/>
    </row>
    <row r="242" spans="1:18" x14ac:dyDescent="0.2">
      <c r="B242" s="109" t="s">
        <v>155</v>
      </c>
      <c r="C242" s="98"/>
      <c r="D242" s="98"/>
      <c r="E242" s="98"/>
      <c r="F242" s="98"/>
      <c r="G242" s="98"/>
    </row>
    <row r="243" spans="1:18" x14ac:dyDescent="0.2">
      <c r="B243" s="118" t="s">
        <v>156</v>
      </c>
      <c r="C243" s="98"/>
      <c r="E243" s="98">
        <f>+C225</f>
        <v>0</v>
      </c>
      <c r="F243" s="98"/>
      <c r="G243" s="98"/>
    </row>
    <row r="244" spans="1:18" x14ac:dyDescent="0.2">
      <c r="B244" s="118" t="s">
        <v>157</v>
      </c>
      <c r="C244" s="98"/>
      <c r="E244" s="98">
        <f>-D225</f>
        <v>0</v>
      </c>
      <c r="F244" s="98"/>
      <c r="G244" s="98"/>
      <c r="R244" s="83"/>
    </row>
    <row r="245" spans="1:18" x14ac:dyDescent="0.2">
      <c r="B245" s="118" t="s">
        <v>158</v>
      </c>
      <c r="C245" s="98"/>
      <c r="E245" s="98">
        <v>0</v>
      </c>
      <c r="F245" s="98"/>
      <c r="G245" s="98"/>
    </row>
    <row r="246" spans="1:18" ht="13.5" thickBot="1" x14ac:dyDescent="0.25">
      <c r="B246" s="130" t="s">
        <v>159</v>
      </c>
      <c r="E246" s="134">
        <f>SUM(E243:E245)</f>
        <v>0</v>
      </c>
    </row>
    <row r="247" spans="1:18" ht="13.5" thickTop="1" x14ac:dyDescent="0.2">
      <c r="B247" s="130"/>
      <c r="E247" s="98"/>
    </row>
    <row r="248" spans="1:18" x14ac:dyDescent="0.2">
      <c r="B248" s="130" t="s">
        <v>160</v>
      </c>
      <c r="D248" s="135">
        <f>+[1]RunOptions!B18</f>
        <v>1</v>
      </c>
      <c r="E248" s="98">
        <f>+E246*D248</f>
        <v>0</v>
      </c>
    </row>
    <row r="249" spans="1:18" x14ac:dyDescent="0.2">
      <c r="B249" s="130" t="s">
        <v>161</v>
      </c>
      <c r="E249" s="98">
        <f>+E246-E248</f>
        <v>0</v>
      </c>
    </row>
    <row r="250" spans="1:18" ht="13.5" thickBot="1" x14ac:dyDescent="0.25">
      <c r="B250" s="130"/>
      <c r="E250" s="134">
        <f>SUM(E248:E249)</f>
        <v>0</v>
      </c>
    </row>
    <row r="251" spans="1:18" ht="13.5" thickTop="1" x14ac:dyDescent="0.2">
      <c r="H251" s="136" t="s">
        <v>162</v>
      </c>
    </row>
    <row r="252" spans="1:18" x14ac:dyDescent="0.2">
      <c r="G252" s="136"/>
      <c r="H252" s="136" t="s">
        <v>4</v>
      </c>
    </row>
    <row r="253" spans="1:18" x14ac:dyDescent="0.2">
      <c r="G253" s="136"/>
    </row>
    <row r="255" spans="1:18" x14ac:dyDescent="0.2">
      <c r="A255" s="88" t="str">
        <f>+A6</f>
        <v>NEWFOUNDLAND AND LABRADOR HYDRO</v>
      </c>
      <c r="B255" s="88"/>
      <c r="C255" s="88"/>
      <c r="D255" s="88"/>
      <c r="E255" s="88"/>
      <c r="F255" s="88"/>
      <c r="G255" s="88"/>
      <c r="H255" s="88"/>
    </row>
    <row r="256" spans="1:18" x14ac:dyDescent="0.2">
      <c r="A256" s="88" t="str">
        <f>RunName</f>
        <v>2027 Test Year Cost of Service Study (No Rate Mitigation)</v>
      </c>
      <c r="B256" s="88"/>
      <c r="C256" s="88"/>
      <c r="D256" s="88"/>
      <c r="E256" s="88"/>
      <c r="F256" s="88"/>
      <c r="G256" s="88"/>
      <c r="H256" s="88"/>
    </row>
    <row r="257" spans="1:18" x14ac:dyDescent="0.2">
      <c r="A257" s="88" t="s">
        <v>8</v>
      </c>
      <c r="B257" s="88"/>
      <c r="C257" s="88"/>
      <c r="D257" s="88"/>
      <c r="E257" s="88"/>
      <c r="F257" s="88"/>
      <c r="G257" s="88"/>
      <c r="H257" s="88"/>
    </row>
    <row r="258" spans="1:18" x14ac:dyDescent="0.2">
      <c r="A258" s="88" t="s">
        <v>163</v>
      </c>
      <c r="B258" s="88"/>
      <c r="C258" s="88"/>
      <c r="D258" s="88"/>
      <c r="E258" s="88"/>
      <c r="F258" s="88"/>
      <c r="G258" s="88"/>
      <c r="H258" s="88"/>
    </row>
    <row r="259" spans="1:18" x14ac:dyDescent="0.2">
      <c r="B259" s="119"/>
      <c r="C259" s="119"/>
      <c r="D259" s="119"/>
      <c r="E259" s="119"/>
      <c r="F259" s="119"/>
      <c r="G259" s="119"/>
    </row>
    <row r="260" spans="1:18" s="83" customFormat="1" x14ac:dyDescent="0.2">
      <c r="B260" s="83">
        <f t="shared" ref="B260:C260" si="84">MAX(A260)+NoOne</f>
        <v>1</v>
      </c>
      <c r="C260" s="83">
        <f t="shared" si="84"/>
        <v>2</v>
      </c>
      <c r="F260" s="83">
        <v>3</v>
      </c>
      <c r="H260" s="83">
        <v>4</v>
      </c>
      <c r="I260" s="83">
        <v>5</v>
      </c>
      <c r="J260" s="83">
        <v>6</v>
      </c>
    </row>
    <row r="261" spans="1:18" s="83" customFormat="1" x14ac:dyDescent="0.2"/>
    <row r="262" spans="1:18" s="83" customFormat="1" ht="38.25" x14ac:dyDescent="0.2">
      <c r="C262" s="137" t="s">
        <v>164</v>
      </c>
      <c r="F262" s="138"/>
      <c r="H262" s="138"/>
      <c r="I262" s="138"/>
    </row>
    <row r="263" spans="1:18" x14ac:dyDescent="0.2">
      <c r="A263" s="83" t="s">
        <v>17</v>
      </c>
      <c r="B263" s="83"/>
      <c r="C263" s="83" t="s">
        <v>165</v>
      </c>
      <c r="D263" s="94" t="s">
        <v>166</v>
      </c>
      <c r="E263" s="94" t="s">
        <v>215</v>
      </c>
      <c r="F263" s="83"/>
      <c r="H263" s="83"/>
      <c r="I263" s="83"/>
      <c r="J263" s="83"/>
    </row>
    <row r="264" spans="1:18" x14ac:dyDescent="0.2">
      <c r="A264" s="83" t="s">
        <v>25</v>
      </c>
      <c r="B264" s="83" t="s">
        <v>26</v>
      </c>
      <c r="C264" s="83" t="s">
        <v>167</v>
      </c>
      <c r="D264" s="83" t="s">
        <v>168</v>
      </c>
      <c r="E264" s="83" t="s">
        <v>167</v>
      </c>
      <c r="F264" s="83" t="s">
        <v>36</v>
      </c>
      <c r="H264" s="83" t="s">
        <v>37</v>
      </c>
      <c r="I264" s="83" t="s">
        <v>169</v>
      </c>
      <c r="J264" s="83" t="s">
        <v>170</v>
      </c>
    </row>
    <row r="265" spans="1:18" x14ac:dyDescent="0.2">
      <c r="B265" s="83"/>
      <c r="C265" s="83" t="s">
        <v>40</v>
      </c>
      <c r="D265" s="83" t="s">
        <v>40</v>
      </c>
      <c r="E265" s="83" t="s">
        <v>40</v>
      </c>
      <c r="F265" s="83" t="s">
        <v>40</v>
      </c>
      <c r="H265" s="83" t="s">
        <v>40</v>
      </c>
      <c r="I265" s="83" t="s">
        <v>40</v>
      </c>
      <c r="J265" s="83"/>
    </row>
    <row r="266" spans="1:18" x14ac:dyDescent="0.2">
      <c r="B266" s="83"/>
      <c r="C266" s="83"/>
      <c r="F266" s="83"/>
      <c r="H266" s="83"/>
      <c r="I266" s="83"/>
      <c r="J266" s="83"/>
    </row>
    <row r="267" spans="1:18" x14ac:dyDescent="0.2">
      <c r="B267" s="104" t="s">
        <v>171</v>
      </c>
      <c r="C267" s="83"/>
      <c r="F267" s="83"/>
      <c r="H267" s="83"/>
      <c r="I267" s="83"/>
      <c r="J267" s="83"/>
    </row>
    <row r="268" spans="1:18" ht="15" x14ac:dyDescent="0.25">
      <c r="A268" s="83">
        <v>1</v>
      </c>
      <c r="B268" s="109" t="s">
        <v>172</v>
      </c>
      <c r="C268" s="98">
        <f>SUM(F268:I268)</f>
        <v>1009624140.6639924</v>
      </c>
      <c r="D268" s="98"/>
      <c r="E268" s="98">
        <f>SUM(C268:D268)</f>
        <v>1009624140.6639924</v>
      </c>
      <c r="F268" s="14">
        <v>565424999.57423449</v>
      </c>
      <c r="H268" s="14">
        <v>441457478.85347712</v>
      </c>
      <c r="I268" s="14">
        <v>2741662.2362807542</v>
      </c>
      <c r="J268" s="84" t="s">
        <v>173</v>
      </c>
    </row>
    <row r="269" spans="1:18" ht="15" x14ac:dyDescent="0.25">
      <c r="A269" s="83">
        <v>2</v>
      </c>
      <c r="B269" s="84" t="s">
        <v>174</v>
      </c>
      <c r="C269" s="98">
        <f>SUM(F269:I269)</f>
        <v>20039019.906508639</v>
      </c>
      <c r="D269" s="98"/>
      <c r="E269" s="98">
        <f>SUM(C269:D269)</f>
        <v>20039019.906508639</v>
      </c>
      <c r="F269" s="98">
        <v>12775025.529698385</v>
      </c>
      <c r="H269" s="14">
        <v>1088077.3977040008</v>
      </c>
      <c r="I269" s="14">
        <v>6175916.9791062539</v>
      </c>
      <c r="J269" s="109" t="s">
        <v>175</v>
      </c>
    </row>
    <row r="270" spans="1:18" x14ac:dyDescent="0.2">
      <c r="C270" s="98"/>
      <c r="D270" s="98"/>
      <c r="E270" s="98"/>
      <c r="F270" s="98"/>
      <c r="H270" s="98"/>
      <c r="I270" s="98"/>
    </row>
    <row r="271" spans="1:18" ht="13.5" thickBot="1" x14ac:dyDescent="0.25">
      <c r="A271" s="83">
        <v>3</v>
      </c>
      <c r="B271" s="100" t="s">
        <v>176</v>
      </c>
      <c r="C271" s="139">
        <f>SUM(C268:C269)</f>
        <v>1029663160.5705011</v>
      </c>
      <c r="D271" s="139"/>
      <c r="E271" s="139">
        <f t="shared" ref="E271" si="85">SUM(E268:E269)</f>
        <v>1029663160.5705011</v>
      </c>
      <c r="F271" s="139">
        <f>SUM(F268:F269)</f>
        <v>578200025.10393286</v>
      </c>
      <c r="H271" s="139">
        <f>SUM(H268:H269)</f>
        <v>442545556.25118113</v>
      </c>
      <c r="I271" s="139">
        <f>SUM(I268:I269)</f>
        <v>8917579.2153870091</v>
      </c>
    </row>
    <row r="272" spans="1:18" ht="15.75" thickTop="1" x14ac:dyDescent="0.25">
      <c r="A272" s="88"/>
      <c r="H272" s="14"/>
      <c r="I272" s="14"/>
      <c r="R272" s="83"/>
    </row>
    <row r="273" spans="1:10" ht="15" x14ac:dyDescent="0.25">
      <c r="A273" s="83">
        <v>4</v>
      </c>
      <c r="B273" s="84" t="s">
        <v>177</v>
      </c>
      <c r="C273" s="98">
        <f>-1*F38</f>
        <v>97077924.322133109</v>
      </c>
      <c r="D273" s="98">
        <v>0</v>
      </c>
      <c r="E273" s="98">
        <f>SUM(C273:D273)</f>
        <v>97077924.322133109</v>
      </c>
      <c r="F273" s="98">
        <f>E273-SUM(H273:I273)</f>
        <v>54513418.008463174</v>
      </c>
      <c r="H273" s="14">
        <f>H$271/$C$271*$E$273</f>
        <v>41723745.846209571</v>
      </c>
      <c r="I273" s="14">
        <f>I$271/$C$271*$E$273</f>
        <v>840760.46746036096</v>
      </c>
      <c r="J273" s="131" t="s">
        <v>178</v>
      </c>
    </row>
    <row r="275" spans="1:10" x14ac:dyDescent="0.2">
      <c r="D275" s="86"/>
      <c r="E275" s="86"/>
      <c r="F275" s="86"/>
    </row>
    <row r="276" spans="1:10" x14ac:dyDescent="0.2">
      <c r="B276" s="92" t="s">
        <v>179</v>
      </c>
    </row>
    <row r="277" spans="1:10" x14ac:dyDescent="0.2">
      <c r="B277" s="109"/>
      <c r="D277" s="113"/>
      <c r="E277" s="113"/>
      <c r="F277" s="113"/>
      <c r="G277" s="130"/>
    </row>
    <row r="278" spans="1:10" x14ac:dyDescent="0.2">
      <c r="B278" s="100"/>
      <c r="C278" s="100"/>
      <c r="D278" s="140"/>
      <c r="E278" s="140"/>
      <c r="F278" s="140"/>
    </row>
    <row r="281" spans="1:10" x14ac:dyDescent="0.2">
      <c r="D281" s="113"/>
      <c r="E281" s="113"/>
      <c r="F281" s="113"/>
      <c r="G281" s="130"/>
    </row>
    <row r="282" spans="1:10" x14ac:dyDescent="0.2">
      <c r="B282" s="100"/>
      <c r="C282" s="100"/>
      <c r="D282" s="140"/>
      <c r="E282" s="140"/>
      <c r="F282" s="140"/>
    </row>
    <row r="283" spans="1:10" x14ac:dyDescent="0.2">
      <c r="B283" s="100"/>
      <c r="C283" s="100"/>
      <c r="D283" s="140"/>
      <c r="E283" s="140"/>
      <c r="F283" s="140"/>
    </row>
    <row r="285" spans="1:10" ht="15" x14ac:dyDescent="0.25">
      <c r="D285" s="75"/>
      <c r="E285" s="75"/>
      <c r="F285" s="75"/>
      <c r="G285" s="109"/>
    </row>
    <row r="286" spans="1:10" x14ac:dyDescent="0.2">
      <c r="D286" s="85"/>
      <c r="E286" s="85"/>
      <c r="F286" s="85"/>
    </row>
    <row r="288" spans="1:10" x14ac:dyDescent="0.2">
      <c r="B288" s="84" t="s">
        <v>180</v>
      </c>
    </row>
    <row r="289" spans="1:18" x14ac:dyDescent="0.2">
      <c r="B289" s="84" t="s">
        <v>181</v>
      </c>
    </row>
    <row r="291" spans="1:18" x14ac:dyDescent="0.2">
      <c r="B291" s="84" t="s">
        <v>182</v>
      </c>
    </row>
    <row r="292" spans="1:18" ht="15" x14ac:dyDescent="0.25">
      <c r="B292" s="84" t="s">
        <v>183</v>
      </c>
      <c r="D292" s="76">
        <v>534.20751031450493</v>
      </c>
      <c r="E292" s="84" t="s">
        <v>184</v>
      </c>
    </row>
    <row r="293" spans="1:18" ht="15" x14ac:dyDescent="0.25">
      <c r="B293" s="84" t="s">
        <v>185</v>
      </c>
      <c r="D293" s="76">
        <v>507.34482936963519</v>
      </c>
    </row>
    <row r="294" spans="1:18" x14ac:dyDescent="0.2">
      <c r="H294" s="136" t="s">
        <v>162</v>
      </c>
    </row>
    <row r="295" spans="1:18" x14ac:dyDescent="0.2">
      <c r="G295" s="136"/>
      <c r="H295" s="141" t="s">
        <v>6</v>
      </c>
    </row>
    <row r="296" spans="1:18" x14ac:dyDescent="0.2">
      <c r="G296" s="136"/>
    </row>
    <row r="298" spans="1:18" x14ac:dyDescent="0.2">
      <c r="A298" s="88" t="str">
        <f>+A6</f>
        <v>NEWFOUNDLAND AND LABRADOR HYDRO</v>
      </c>
      <c r="B298" s="88"/>
      <c r="C298" s="88"/>
      <c r="D298" s="88"/>
      <c r="E298" s="88"/>
      <c r="F298" s="88"/>
      <c r="G298" s="88"/>
      <c r="H298" s="88"/>
    </row>
    <row r="299" spans="1:18" x14ac:dyDescent="0.2">
      <c r="A299" s="88" t="str">
        <f>RunName</f>
        <v>2027 Test Year Cost of Service Study (No Rate Mitigation)</v>
      </c>
      <c r="B299" s="88"/>
      <c r="C299" s="88"/>
      <c r="D299" s="88"/>
      <c r="E299" s="88"/>
      <c r="F299" s="88"/>
      <c r="G299" s="88"/>
      <c r="H299" s="88"/>
    </row>
    <row r="300" spans="1:18" x14ac:dyDescent="0.2">
      <c r="A300" s="88" t="s">
        <v>8</v>
      </c>
      <c r="B300" s="88"/>
      <c r="C300" s="88"/>
      <c r="D300" s="88"/>
      <c r="E300" s="88"/>
      <c r="F300" s="88"/>
      <c r="G300" s="88"/>
      <c r="H300" s="88"/>
      <c r="R300" s="83"/>
    </row>
    <row r="301" spans="1:18" x14ac:dyDescent="0.2">
      <c r="A301" s="88" t="s">
        <v>163</v>
      </c>
      <c r="B301" s="88"/>
      <c r="C301" s="88"/>
      <c r="D301" s="88"/>
      <c r="E301" s="88"/>
      <c r="F301" s="88"/>
      <c r="G301" s="88"/>
      <c r="H301" s="88"/>
    </row>
    <row r="302" spans="1:18" x14ac:dyDescent="0.2">
      <c r="B302" s="119"/>
      <c r="C302" s="119"/>
      <c r="D302" s="119"/>
      <c r="E302" s="119"/>
      <c r="F302" s="119"/>
    </row>
    <row r="303" spans="1:18" x14ac:dyDescent="0.2">
      <c r="A303" s="83" t="s">
        <v>17</v>
      </c>
      <c r="B303" s="83">
        <v>1</v>
      </c>
      <c r="C303" s="83">
        <v>2</v>
      </c>
      <c r="D303" s="83"/>
      <c r="E303" s="83"/>
      <c r="F303" s="83"/>
      <c r="G303" s="83"/>
    </row>
    <row r="304" spans="1:18" x14ac:dyDescent="0.2">
      <c r="A304" s="83" t="s">
        <v>25</v>
      </c>
    </row>
    <row r="305" spans="1:7" x14ac:dyDescent="0.2">
      <c r="B305" s="83"/>
      <c r="C305" s="83" t="s">
        <v>186</v>
      </c>
      <c r="D305" s="95"/>
      <c r="E305" s="95"/>
      <c r="F305" s="95"/>
      <c r="G305" s="83"/>
    </row>
    <row r="306" spans="1:7" x14ac:dyDescent="0.2">
      <c r="B306" s="83"/>
      <c r="C306" s="94" t="s">
        <v>187</v>
      </c>
      <c r="D306" s="83" t="s">
        <v>188</v>
      </c>
      <c r="E306" s="83" t="s">
        <v>189</v>
      </c>
      <c r="F306" s="83"/>
      <c r="G306" s="83"/>
    </row>
    <row r="307" spans="1:7" x14ac:dyDescent="0.2">
      <c r="B307" s="83"/>
      <c r="C307" s="142" t="s">
        <v>198</v>
      </c>
      <c r="D307" s="143" t="s">
        <v>190</v>
      </c>
      <c r="E307" s="143" t="s">
        <v>191</v>
      </c>
      <c r="F307" s="83"/>
      <c r="G307" s="83"/>
    </row>
    <row r="308" spans="1:7" x14ac:dyDescent="0.2">
      <c r="B308" s="83"/>
      <c r="C308" s="83" t="s">
        <v>40</v>
      </c>
      <c r="D308" s="83" t="s">
        <v>40</v>
      </c>
      <c r="E308" s="83" t="s">
        <v>40</v>
      </c>
      <c r="F308" s="83"/>
      <c r="G308" s="83"/>
    </row>
    <row r="310" spans="1:7" x14ac:dyDescent="0.2">
      <c r="B310" s="84" t="s">
        <v>192</v>
      </c>
    </row>
    <row r="312" spans="1:7" ht="15" x14ac:dyDescent="0.25">
      <c r="A312" s="83">
        <v>1</v>
      </c>
      <c r="B312" s="84" t="s">
        <v>193</v>
      </c>
      <c r="C312" s="98">
        <f>C273</f>
        <v>97077924.322133109</v>
      </c>
      <c r="D312" s="62"/>
      <c r="E312" s="62"/>
      <c r="F312" s="62"/>
      <c r="G312" s="144"/>
    </row>
    <row r="313" spans="1:7" ht="15" hidden="1" x14ac:dyDescent="0.25">
      <c r="A313" s="83">
        <v>2</v>
      </c>
      <c r="B313" s="84" t="s">
        <v>194</v>
      </c>
      <c r="C313" s="98">
        <f>D273</f>
        <v>0</v>
      </c>
      <c r="D313" s="62"/>
      <c r="E313" s="62"/>
      <c r="F313" s="62"/>
      <c r="G313" s="144"/>
    </row>
    <row r="314" spans="1:7" ht="15" x14ac:dyDescent="0.25">
      <c r="C314" s="98"/>
      <c r="D314" s="62"/>
      <c r="E314" s="62"/>
      <c r="F314" s="62"/>
    </row>
    <row r="315" spans="1:7" ht="13.5" thickBot="1" x14ac:dyDescent="0.25">
      <c r="A315" s="83">
        <v>2</v>
      </c>
      <c r="B315" s="100" t="s">
        <v>195</v>
      </c>
      <c r="C315" s="139">
        <f>SUM(C312:C313)</f>
        <v>97077924.322133109</v>
      </c>
      <c r="D315" s="139">
        <f>E268/E271*E273</f>
        <v>95188620.584301099</v>
      </c>
      <c r="E315" s="139">
        <f>E269/E271*E273</f>
        <v>1889303.7378320058</v>
      </c>
      <c r="F315" s="123"/>
    </row>
    <row r="316" spans="1:7" ht="13.5" thickTop="1" x14ac:dyDescent="0.2"/>
    <row r="317" spans="1:7" x14ac:dyDescent="0.2">
      <c r="B317" s="84" t="s">
        <v>196</v>
      </c>
    </row>
    <row r="318" spans="1:7" x14ac:dyDescent="0.2">
      <c r="C318" s="143" t="s">
        <v>197</v>
      </c>
      <c r="D318" s="145" t="s">
        <v>198</v>
      </c>
      <c r="E318" s="143" t="s">
        <v>199</v>
      </c>
    </row>
    <row r="319" spans="1:7" x14ac:dyDescent="0.2">
      <c r="B319" s="100" t="s">
        <v>200</v>
      </c>
    </row>
    <row r="320" spans="1:7" ht="15" x14ac:dyDescent="0.25">
      <c r="A320" s="83">
        <v>3</v>
      </c>
      <c r="B320" s="109" t="s">
        <v>201</v>
      </c>
      <c r="C320" s="121">
        <f>C268/SUM($C$268:$C$268)*$D$315</f>
        <v>95188620.584301099</v>
      </c>
      <c r="D320" s="98">
        <f>SUM(F268:I268)</f>
        <v>1009624140.6639924</v>
      </c>
      <c r="E320" s="80">
        <f>+C320/C326</f>
        <v>0.98053827632775969</v>
      </c>
    </row>
    <row r="321" spans="1:5" hidden="1" x14ac:dyDescent="0.2">
      <c r="A321" s="83">
        <v>4</v>
      </c>
      <c r="B321" s="109" t="s">
        <v>202</v>
      </c>
      <c r="C321" s="121">
        <f>SUM(C320:C320)</f>
        <v>95188620.584301099</v>
      </c>
      <c r="E321" s="146"/>
    </row>
    <row r="322" spans="1:5" x14ac:dyDescent="0.2">
      <c r="B322" s="109"/>
      <c r="C322" s="98"/>
      <c r="E322" s="146"/>
    </row>
    <row r="323" spans="1:5" x14ac:dyDescent="0.2">
      <c r="B323" s="100" t="s">
        <v>203</v>
      </c>
      <c r="E323" s="146"/>
    </row>
    <row r="324" spans="1:5" ht="15" x14ac:dyDescent="0.25">
      <c r="A324" s="83">
        <v>4</v>
      </c>
      <c r="B324" s="84" t="s">
        <v>204</v>
      </c>
      <c r="C324" s="121">
        <f>C269/SUM($C$269:$C$269)*$E$315</f>
        <v>1889303.7378320058</v>
      </c>
      <c r="D324" s="98">
        <f>SUM(F269:I269)</f>
        <v>20039019.906508639</v>
      </c>
      <c r="E324" s="80">
        <f>+C324/C326</f>
        <v>1.9461723672240253E-2</v>
      </c>
    </row>
    <row r="325" spans="1:5" hidden="1" x14ac:dyDescent="0.2">
      <c r="A325" s="83">
        <v>5</v>
      </c>
      <c r="B325" s="84" t="s">
        <v>205</v>
      </c>
      <c r="C325" s="121">
        <f>SUM(C324:C324)</f>
        <v>1889303.7378320058</v>
      </c>
      <c r="E325" s="83"/>
    </row>
    <row r="326" spans="1:5" ht="15.75" thickBot="1" x14ac:dyDescent="0.3">
      <c r="A326" s="83">
        <v>5</v>
      </c>
      <c r="B326" s="100" t="s">
        <v>206</v>
      </c>
      <c r="C326" s="139">
        <f>SUM(C325,C321)</f>
        <v>97077924.322133109</v>
      </c>
      <c r="E326" s="82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3705F3-BD71-4E91-B43E-6066DCC0D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439268-579C-4DFB-8462-B3654A05CD17}">
  <ds:schemaRefs>
    <ds:schemaRef ds:uri="http://schemas.microsoft.com/office/2006/metadata/properties"/>
    <ds:schemaRef ds:uri="http://purl.org/dc/terms/"/>
    <ds:schemaRef ds:uri="881A77B9-8CB8-4322-BFDB-053E2C2CD82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81a77b9-8cb8-4322-bfdb-053e2c2cd82c"/>
    <ds:schemaRef ds:uri="e99d5e2b-6807-428e-89e8-c4050aaa2c2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9C9C2C-CB0A-4729-8D66-0ECBFBEA2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i) F1.2 Mitigation 18.43% Rev</vt:lpstr>
      <vt:lpstr>ii)G1.2 No Mitigatation 18.43%</vt:lpstr>
      <vt:lpstr>iii) Schedule F 1.2 Filed</vt:lpstr>
      <vt:lpstr>iv) Schedule G1.2 Filed</vt:lpstr>
      <vt:lpstr>'i) F1.2 Mitigation 18.43% Rev'!Print_Area</vt:lpstr>
      <vt:lpstr>'ii)G1.2 No Mitigatation 18.43%'!Print_Area</vt:lpstr>
      <vt:lpstr>'iii) Schedule F 1.2 Filed'!Print_Area</vt:lpstr>
      <vt:lpstr>'iv) Schedule G1.2 Filed'!Print_Area</vt:lpstr>
      <vt:lpstr>'i) F1.2 Mitigation 18.43% Rev'!prt_tot1.2</vt:lpstr>
      <vt:lpstr>'iii) Schedule F 1.2 Filed'!prt_tot1.2</vt:lpstr>
      <vt:lpstr>'iv) Schedule G1.2 Filed'!prt_tot1.2</vt:lpstr>
      <vt:lpstr>prt_tot1.2</vt:lpstr>
      <vt:lpstr>'i) F1.2 Mitigation 18.43% Rev'!PRT_TOT1.2.1</vt:lpstr>
      <vt:lpstr>'iii) Schedule F 1.2 Filed'!PRT_TOT1.2.1</vt:lpstr>
      <vt:lpstr>'iv) Schedule G1.2 Filed'!PRT_TOT1.2.1</vt:lpstr>
      <vt:lpstr>PRT_TOT1.2.1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Jason Butt</dc:creator>
  <cp:lastModifiedBy>Melissa Hardy</cp:lastModifiedBy>
  <dcterms:created xsi:type="dcterms:W3CDTF">2015-06-05T18:17:20Z</dcterms:created>
  <dcterms:modified xsi:type="dcterms:W3CDTF">2026-08-30T10:08:11Z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